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20730" windowHeight="9315" tabRatio="1000" firstSheet="14" activeTab="32"/>
  </bookViews>
  <sheets>
    <sheet name="К.пр.60а" sheetId="1" r:id="rId1"/>
    <sheet name="К.пр.66В" sheetId="2" r:id="rId2"/>
    <sheet name="Мон.33" sheetId="3" r:id="rId3"/>
    <sheet name="К.пр.76" sheetId="4" r:id="rId4"/>
    <sheet name="Лен.42" sheetId="5" r:id="rId5"/>
    <sheet name="40 л.П.31в" sheetId="6" r:id="rId6"/>
    <sheet name="40 л.П.29" sheetId="7" r:id="rId7"/>
    <sheet name="Мон.31" sheetId="8" r:id="rId8"/>
    <sheet name="40 л.П.33а" sheetId="9" r:id="rId9"/>
    <sheet name="40 л.П.33б" sheetId="10" r:id="rId10"/>
    <sheet name="К.пр.62а" sheetId="11" r:id="rId11"/>
    <sheet name="Мон.35" sheetId="12" r:id="rId12"/>
    <sheet name="40 л.П.29д" sheetId="13" r:id="rId13"/>
    <sheet name="40 л.П.31б" sheetId="14" r:id="rId14"/>
    <sheet name="40 л.П.29В" sheetId="15" r:id="rId15"/>
    <sheet name="Цв.59А" sheetId="16" r:id="rId16"/>
    <sheet name="40 л.П.29б" sheetId="17" r:id="rId17"/>
    <sheet name="40 л.П.33" sheetId="18" r:id="rId18"/>
    <sheet name="К.пр.78б" sheetId="19" r:id="rId19"/>
    <sheet name="40 л.П.35а" sheetId="20" r:id="rId20"/>
    <sheet name="250 л.ч.10" sheetId="21" r:id="rId21"/>
    <sheet name="Гаг.28б" sheetId="22" r:id="rId22"/>
    <sheet name="40 л.П.35" sheetId="23" r:id="rId23"/>
    <sheet name="К.пр.66б" sheetId="24" r:id="rId24"/>
    <sheet name="40 л.П.31" sheetId="25" r:id="rId25"/>
    <sheet name="К.пр.62б" sheetId="26" r:id="rId26"/>
    <sheet name="40 л.П.29а" sheetId="27" r:id="rId27"/>
    <sheet name="Зах.3в" sheetId="28" r:id="rId28"/>
    <sheet name="К.пр.76а" sheetId="29" r:id="rId29"/>
    <sheet name="Вор.52а" sheetId="30" r:id="rId30"/>
    <sheet name="Св.пр.58а" sheetId="31" r:id="rId31"/>
    <sheet name="Вор.13" sheetId="32" r:id="rId32"/>
    <sheet name="К.пр.66А" sheetId="33" r:id="rId33"/>
  </sheets>
  <definedNames/>
  <calcPr fullCalcOnLoad="1"/>
</workbook>
</file>

<file path=xl/sharedStrings.xml><?xml version="1.0" encoding="utf-8"?>
<sst xmlns="http://schemas.openxmlformats.org/spreadsheetml/2006/main" count="2160" uniqueCount="153">
  <si>
    <t xml:space="preserve">ОТЧЕТ </t>
  </si>
  <si>
    <t>об исполнении договора управления общим имуществом МКД</t>
  </si>
  <si>
    <t>Площадь жилых помещений, кв.м.</t>
  </si>
  <si>
    <t>Площадь нежилых помещений, кв.м.</t>
  </si>
  <si>
    <t xml:space="preserve">Собираемость, % </t>
  </si>
  <si>
    <t>I.</t>
  </si>
  <si>
    <t>Поступление  и использвание денежных средств</t>
  </si>
  <si>
    <t>№ п/п</t>
  </si>
  <si>
    <t>Наименование статьи</t>
  </si>
  <si>
    <t>Задолженность на начало отчетного периода</t>
  </si>
  <si>
    <t>в т.ч.</t>
  </si>
  <si>
    <t>Начислено собственникам</t>
  </si>
  <si>
    <t>Оплачено собственниками</t>
  </si>
  <si>
    <t>Задолженность на конец отчетного периода</t>
  </si>
  <si>
    <t>нежилые</t>
  </si>
  <si>
    <t>население</t>
  </si>
  <si>
    <t>Обслуживание и ремонт, мусоропровод, ОПУ</t>
  </si>
  <si>
    <t>Эл.энергия на МОП и оборудования (лест.кл., насосы, тех.подвалы и т.д.) Домовое освещение</t>
  </si>
  <si>
    <t>Обслуживание и ремонт лифта</t>
  </si>
  <si>
    <t>перерасчет</t>
  </si>
  <si>
    <t>Теплоэнергия</t>
  </si>
  <si>
    <t>Вода и водоотведение</t>
  </si>
  <si>
    <t>Домофон, антенна</t>
  </si>
  <si>
    <t>Вывоз ТБО, размещение ТБО</t>
  </si>
  <si>
    <t>Охрана</t>
  </si>
  <si>
    <t>II.</t>
  </si>
  <si>
    <t>Перечень, выполненных работ и предоставленных услуг за отчетный период</t>
  </si>
  <si>
    <t>Наименование услуги, работы</t>
  </si>
  <si>
    <t>Коммунальные услуги, всего в т.ч.</t>
  </si>
  <si>
    <t>теплоэнергия</t>
  </si>
  <si>
    <t>работы выполненные за счет "экономии по теплу", перерасчет</t>
  </si>
  <si>
    <t>установка шлагбаума, автоматики</t>
  </si>
  <si>
    <t>возврат (перерасчет) собственникам</t>
  </si>
  <si>
    <t>Текущий ремонт, всего в т.ч.</t>
  </si>
  <si>
    <t xml:space="preserve"> -</t>
  </si>
  <si>
    <t>дератизация</t>
  </si>
  <si>
    <t>вентиляция</t>
  </si>
  <si>
    <t>швы</t>
  </si>
  <si>
    <t>покос травы</t>
  </si>
  <si>
    <t>III</t>
  </si>
  <si>
    <t>Остаток денежных средств от начисления,  (+)-профицит, (-)-дефицит ( с учетом перерасчетом по теплоэнергии)</t>
  </si>
  <si>
    <t>А.В.Горбунова</t>
  </si>
  <si>
    <t>Прочие (доходы от населения и арендаторов)</t>
  </si>
  <si>
    <t>ремонт швов</t>
  </si>
  <si>
    <t>ООО УК "Строитель-97 "</t>
  </si>
  <si>
    <t>Директор ОООУК "Строитель-97"</t>
  </si>
  <si>
    <t>№ 60А по ул. Комсомольский пр-т</t>
  </si>
  <si>
    <t>№ 66В по ул. Комсомольский пр-т</t>
  </si>
  <si>
    <t>№ 66А по ул. Комсомольский пр-т</t>
  </si>
  <si>
    <t>№ 33 по ул. Монакова</t>
  </si>
  <si>
    <t>№ 76 по ул. Комсомольский пр-т</t>
  </si>
  <si>
    <t>№ 42 по ул. Ленина</t>
  </si>
  <si>
    <t>№ 31В по ул. 40 Лет Победы</t>
  </si>
  <si>
    <t>№ 29 по ул. 40 Лет Победы</t>
  </si>
  <si>
    <t>№ 31 по ул. Монакова</t>
  </si>
  <si>
    <t>№ 33А по ул. 40 Лет Победы</t>
  </si>
  <si>
    <t>№ 33б по ул. 40 Лет Победы</t>
  </si>
  <si>
    <t>№ 62А по ул. Комсомольский пр-т</t>
  </si>
  <si>
    <t>№ 35 по ул. Монакова</t>
  </si>
  <si>
    <t>№ 29Д по ул. 40 Лет Победы</t>
  </si>
  <si>
    <t>№ 31Б по ул. 40 Лет Победы</t>
  </si>
  <si>
    <t>№ 29В по ул. 40 Лет Победы</t>
  </si>
  <si>
    <t>№ 59А по ул. Цвиллинга</t>
  </si>
  <si>
    <t>№ 29Б по ул. 40 Лет Победы</t>
  </si>
  <si>
    <t>№ 33 по ул. 40 Лет Победы</t>
  </si>
  <si>
    <t>№ 78Б по ул. Комсомольский пр-т</t>
  </si>
  <si>
    <t>№ 35А по ул. 40 Лет Победы</t>
  </si>
  <si>
    <t>№ 10 по ул. 250 лет Челябинску</t>
  </si>
  <si>
    <t>№ 28Б по ул. Гагарина</t>
  </si>
  <si>
    <t>№ 35 по ул. 40 Лет Победы</t>
  </si>
  <si>
    <t>№ 66Б по ул. Комсомольский пр-т</t>
  </si>
  <si>
    <t>№ 31 по ул. 40 Лет Победы</t>
  </si>
  <si>
    <t>№ 62Б по ул. Комсомольский пр-т</t>
  </si>
  <si>
    <t>№ 29А по ул. 40 Лет Победы</t>
  </si>
  <si>
    <t>№ 3В по ул. Захаренко</t>
  </si>
  <si>
    <t>№ 76А по ул. Комсомольский пр-т</t>
  </si>
  <si>
    <t>№ 52А по ул. Воровского</t>
  </si>
  <si>
    <t>№ 58А по ул. Свердловский пр-т</t>
  </si>
  <si>
    <t>№ 13 по ул. Воровского</t>
  </si>
  <si>
    <t>уборка снега</t>
  </si>
  <si>
    <t>монтаж доводчика</t>
  </si>
  <si>
    <t>смена трубопровода хгвс</t>
  </si>
  <si>
    <t>установка малых форм</t>
  </si>
  <si>
    <t>замена элементов питания</t>
  </si>
  <si>
    <t>горка</t>
  </si>
  <si>
    <t>ремонт откосов 1-5</t>
  </si>
  <si>
    <t>замена лестничных ступеней</t>
  </si>
  <si>
    <t>ремонт асфальтового покрытия</t>
  </si>
  <si>
    <t>дезинфекция</t>
  </si>
  <si>
    <t>наладка насосной</t>
  </si>
  <si>
    <t>монтаж ската горки</t>
  </si>
  <si>
    <t>диагностика автоматики</t>
  </si>
  <si>
    <t>обслуживание тепловых пунктов, насосных установок</t>
  </si>
  <si>
    <t>смена трубопровода хвс</t>
  </si>
  <si>
    <t>установка дверей</t>
  </si>
  <si>
    <t>ремонт кровли</t>
  </si>
  <si>
    <t>цоколь, приямки</t>
  </si>
  <si>
    <t>замена л/ступеней</t>
  </si>
  <si>
    <t xml:space="preserve">ремонт входных </t>
  </si>
  <si>
    <t>ремонт откосов 1-4</t>
  </si>
  <si>
    <t>смена насоса</t>
  </si>
  <si>
    <t>установка урн</t>
  </si>
  <si>
    <t>смена трубопровода кнз</t>
  </si>
  <si>
    <t>ремонт входных групп с заменой дверей</t>
  </si>
  <si>
    <t>установка перил</t>
  </si>
  <si>
    <t>обслуживание тепл пунктов, насосных установок</t>
  </si>
  <si>
    <t>ремонт подъезда №1</t>
  </si>
  <si>
    <t>герметизация оконного проема</t>
  </si>
  <si>
    <t>сервисные работы</t>
  </si>
  <si>
    <t>смена насоса на отоплении</t>
  </si>
  <si>
    <t>герметизация примыканий балконного козырька</t>
  </si>
  <si>
    <t>установка стеклопакета</t>
  </si>
  <si>
    <t>замена почтовых ящиков 6 п</t>
  </si>
  <si>
    <t>ремонт входных 1 - 6п</t>
  </si>
  <si>
    <t>монтаж пандуса</t>
  </si>
  <si>
    <t>очистка снега с кровли</t>
  </si>
  <si>
    <t>ремонт л/клеток</t>
  </si>
  <si>
    <t>поверка теплосчетчика</t>
  </si>
  <si>
    <t>ремонт кл</t>
  </si>
  <si>
    <t>замена трубопровода гвс</t>
  </si>
  <si>
    <t>дезинсекция</t>
  </si>
  <si>
    <t>установка насоса</t>
  </si>
  <si>
    <t>установка двери</t>
  </si>
  <si>
    <t>документы</t>
  </si>
  <si>
    <t>изготовление, монтаж перил</t>
  </si>
  <si>
    <t>установка почтовых ящиков</t>
  </si>
  <si>
    <t>монтаж алюминевых дверей</t>
  </si>
  <si>
    <t>отключение воды</t>
  </si>
  <si>
    <t>монтаж шарового крана</t>
  </si>
  <si>
    <t>замена трубопровода хвс с врезками</t>
  </si>
  <si>
    <t>перенос насосной станции</t>
  </si>
  <si>
    <t>смена расширительного бака</t>
  </si>
  <si>
    <t>подключение насосов</t>
  </si>
  <si>
    <t>балконный козырек</t>
  </si>
  <si>
    <t>установка малых форм (горка)</t>
  </si>
  <si>
    <t xml:space="preserve">Остаток денежных средств от начисления,  (+)-профицит, (-)-дефицит </t>
  </si>
  <si>
    <t>благоустройство (крыльцо, ограждение)</t>
  </si>
  <si>
    <t>укладка резинового покрытия</t>
  </si>
  <si>
    <t>ремонт входных групп</t>
  </si>
  <si>
    <t>Остаток денежных средств от начисления,  (+)-профицит, (-)-дефицит</t>
  </si>
  <si>
    <t>ремонт входных 1, 2 п</t>
  </si>
  <si>
    <t xml:space="preserve">ремонт откосов </t>
  </si>
  <si>
    <t>смена насоса на хвс</t>
  </si>
  <si>
    <t>ремонт лестничных клеток подъезда №1</t>
  </si>
  <si>
    <t>ремонт лестничных клеток подъезда №4</t>
  </si>
  <si>
    <t>ремонт откосов 1-6п</t>
  </si>
  <si>
    <t>ремонт откосов 1-3п</t>
  </si>
  <si>
    <t>за  2014 год (с 01.01.2014 по 31.12.2014)</t>
  </si>
  <si>
    <t>Выполнено работ, предоставлено коммунальных услуг (в т.ч. банковск.расходы, распечатка, доставка квитанции)</t>
  </si>
  <si>
    <t>Остаток (+)прибыль, (-)перерасход</t>
  </si>
  <si>
    <t>руб.</t>
  </si>
  <si>
    <t>Сумма, руб.</t>
  </si>
  <si>
    <t>Сумма,руб.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</si>
</sst>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55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1"/>
      <color theme="0" tint="-0.24997000396251678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4" fillId="0" borderId="0" xfId="0" applyFont="1" applyAlignment="1">
      <alignment/>
    </xf>
    <xf numFmtId="0" fontId="41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9" fontId="32" fillId="0" borderId="0" xfId="55" applyFont="1" applyAlignment="1">
      <alignment horizontal="right"/>
    </xf>
    <xf numFmtId="164" fontId="32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right"/>
    </xf>
    <xf numFmtId="9" fontId="24" fillId="0" borderId="0" xfId="55" applyNumberFormat="1" applyFont="1" applyAlignment="1">
      <alignment horizontal="center"/>
    </xf>
    <xf numFmtId="43" fontId="42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4" fillId="13" borderId="10" xfId="0" applyNumberFormat="1" applyFont="1" applyFill="1" applyBorder="1" applyAlignment="1">
      <alignment horizontal="center" vertical="center" wrapText="1"/>
    </xf>
    <xf numFmtId="4" fontId="24" fillId="9" borderId="10" xfId="0" applyNumberFormat="1" applyFont="1" applyFill="1" applyBorder="1" applyAlignment="1">
      <alignment horizontal="center" vertical="center" wrapText="1"/>
    </xf>
    <xf numFmtId="4" fontId="24" fillId="18" borderId="10" xfId="0" applyNumberFormat="1" applyFont="1" applyFill="1" applyBorder="1" applyAlignment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vertical="center" wrapText="1"/>
    </xf>
    <xf numFmtId="4" fontId="32" fillId="0" borderId="10" xfId="0" applyNumberFormat="1" applyFont="1" applyBorder="1" applyAlignment="1">
      <alignment vertical="center" wrapText="1"/>
    </xf>
    <xf numFmtId="4" fontId="32" fillId="18" borderId="10" xfId="0" applyNumberFormat="1" applyFont="1" applyFill="1" applyBorder="1" applyAlignment="1">
      <alignment horizontal="center" vertical="center" wrapText="1"/>
    </xf>
    <xf numFmtId="4" fontId="32" fillId="34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4" fontId="24" fillId="0" borderId="0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5" xfId="0" applyNumberFormat="1" applyFont="1" applyFill="1" applyBorder="1" applyAlignment="1">
      <alignment vertical="center" wrapText="1"/>
    </xf>
    <xf numFmtId="4" fontId="24" fillId="33" borderId="16" xfId="0" applyNumberFormat="1" applyFont="1" applyFill="1" applyBorder="1" applyAlignment="1">
      <alignment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4" fillId="0" borderId="11" xfId="0" applyFont="1" applyBorder="1" applyAlignment="1">
      <alignment horizontal="left" vertical="center" wrapText="1" indent="2"/>
    </xf>
    <xf numFmtId="0" fontId="24" fillId="0" borderId="12" xfId="0" applyFont="1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4" fontId="24" fillId="12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4" fontId="24" fillId="8" borderId="10" xfId="0" applyNumberFormat="1" applyFont="1" applyFill="1" applyBorder="1" applyAlignment="1">
      <alignment horizontal="center" vertical="center" wrapText="1"/>
    </xf>
    <xf numFmtId="43" fontId="33" fillId="33" borderId="0" xfId="0" applyNumberFormat="1" applyFont="1" applyFill="1" applyAlignment="1">
      <alignment/>
    </xf>
    <xf numFmtId="164" fontId="33" fillId="33" borderId="0" xfId="0" applyNumberFormat="1" applyFont="1" applyFill="1" applyAlignment="1">
      <alignment/>
    </xf>
    <xf numFmtId="4" fontId="24" fillId="33" borderId="11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4" fontId="32" fillId="35" borderId="18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2" fillId="0" borderId="11" xfId="0" applyFont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4" fontId="32" fillId="35" borderId="12" xfId="0" applyNumberFormat="1" applyFont="1" applyFill="1" applyBorder="1" applyAlignment="1">
      <alignment horizontal="center" vertical="center" wrapText="1"/>
    </xf>
    <xf numFmtId="4" fontId="32" fillId="35" borderId="15" xfId="0" applyNumberFormat="1" applyFont="1" applyFill="1" applyBorder="1" applyAlignment="1">
      <alignment horizontal="center" vertical="center" wrapText="1"/>
    </xf>
    <xf numFmtId="4" fontId="32" fillId="35" borderId="16" xfId="0" applyNumberFormat="1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16" borderId="10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24" fillId="0" borderId="11" xfId="0" applyFont="1" applyBorder="1" applyAlignment="1">
      <alignment horizontal="left" vertical="center" wrapText="1" indent="2"/>
    </xf>
    <xf numFmtId="4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PageLayoutView="0" workbookViewId="0" topLeftCell="A10">
      <selection activeCell="L41" sqref="L41:O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2.57421875" style="2" customWidth="1" outlineLevel="1"/>
    <col min="11" max="11" width="13.851562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3.421875" style="2" customWidth="1"/>
    <col min="17" max="17" width="8.7109375" style="2" customWidth="1" outlineLevel="1"/>
    <col min="18" max="18" width="12.8515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46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4690.5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0.9963138151678153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8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208416.74</v>
      </c>
      <c r="D14" s="20"/>
      <c r="E14" s="21">
        <v>208416.74</v>
      </c>
      <c r="F14" s="19">
        <f>G14+H14</f>
        <v>733406.76</v>
      </c>
      <c r="G14" s="20"/>
      <c r="H14" s="21">
        <v>733406.76</v>
      </c>
      <c r="I14" s="19">
        <f>J14</f>
        <v>0</v>
      </c>
      <c r="J14" s="20"/>
      <c r="K14" s="21">
        <v>732395.41</v>
      </c>
      <c r="L14" s="19">
        <f>M14</f>
        <v>0</v>
      </c>
      <c r="M14" s="20">
        <f>D14+G14-J14</f>
        <v>0</v>
      </c>
      <c r="N14" s="21">
        <v>209428.08999999997</v>
      </c>
      <c r="O14" s="22">
        <v>1050727.15985</v>
      </c>
      <c r="P14" s="62">
        <f>F14-O14</f>
        <v>-317320.3998499999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9416.56</v>
      </c>
      <c r="D15" s="20"/>
      <c r="E15" s="21">
        <v>9416.56</v>
      </c>
      <c r="F15" s="19">
        <v>15724.78</v>
      </c>
      <c r="G15" s="20"/>
      <c r="H15" s="21">
        <v>15724.78</v>
      </c>
      <c r="I15" s="19">
        <v>21011.22</v>
      </c>
      <c r="J15" s="20"/>
      <c r="K15" s="21">
        <v>21011.22</v>
      </c>
      <c r="L15" s="19">
        <f>M15</f>
        <v>0</v>
      </c>
      <c r="M15" s="20">
        <f aca="true" t="shared" si="1" ref="M15:M24">D15+G15-J15</f>
        <v>0</v>
      </c>
      <c r="N15" s="21">
        <v>4130.119999999999</v>
      </c>
      <c r="O15" s="22">
        <f>2947.35+12777.43</f>
        <v>15724.78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41172.17</v>
      </c>
      <c r="D16" s="20"/>
      <c r="E16" s="21">
        <v>41172.17</v>
      </c>
      <c r="F16" s="19">
        <v>193806.36</v>
      </c>
      <c r="G16" s="20"/>
      <c r="H16" s="21">
        <v>193806.36</v>
      </c>
      <c r="I16" s="19">
        <v>191929.75</v>
      </c>
      <c r="J16" s="20"/>
      <c r="K16" s="21">
        <v>191929.75</v>
      </c>
      <c r="L16" s="19">
        <v>43048.77999999997</v>
      </c>
      <c r="M16" s="20">
        <f t="shared" si="1"/>
        <v>0</v>
      </c>
      <c r="N16" s="21">
        <v>43048.77999999997</v>
      </c>
      <c r="O16" s="22">
        <v>187207.95255000002</v>
      </c>
      <c r="P16" s="62">
        <v>6598.40744999997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-500.4</v>
      </c>
      <c r="M17" s="20">
        <f t="shared" si="1"/>
        <v>0</v>
      </c>
      <c r="N17" s="21">
        <v>-500.4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f t="shared" si="1"/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f t="shared" si="1"/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f t="shared" si="1"/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f t="shared" si="1"/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17392.800000000003</v>
      </c>
      <c r="D22" s="20"/>
      <c r="E22" s="21">
        <v>17392.800000000003</v>
      </c>
      <c r="F22" s="19">
        <v>94475.04</v>
      </c>
      <c r="G22" s="20"/>
      <c r="H22" s="21">
        <v>94475.04</v>
      </c>
      <c r="I22" s="19">
        <v>93086.93000000001</v>
      </c>
      <c r="J22" s="20"/>
      <c r="K22" s="21">
        <v>93086.93000000001</v>
      </c>
      <c r="L22" s="19">
        <v>18780.90999999999</v>
      </c>
      <c r="M22" s="20">
        <f t="shared" si="1"/>
        <v>0</v>
      </c>
      <c r="N22" s="21">
        <v>18780.90999999999</v>
      </c>
      <c r="O22" s="22">
        <v>94475.04000000001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26661.21</v>
      </c>
      <c r="D23" s="20"/>
      <c r="E23" s="21">
        <v>26661.21</v>
      </c>
      <c r="F23" s="19">
        <v>105096</v>
      </c>
      <c r="G23" s="20"/>
      <c r="H23" s="21">
        <v>105096</v>
      </c>
      <c r="I23" s="19">
        <v>99748.36</v>
      </c>
      <c r="J23" s="20"/>
      <c r="K23" s="21">
        <v>99748.36</v>
      </c>
      <c r="L23" s="19">
        <v>32008.84999999999</v>
      </c>
      <c r="M23" s="20">
        <f t="shared" si="1"/>
        <v>0</v>
      </c>
      <c r="N23" s="21">
        <v>32008.84999999999</v>
      </c>
      <c r="O23" s="22">
        <v>252143.54</v>
      </c>
      <c r="P23" s="62">
        <v>-147047.54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f>G24+H24</f>
        <v>2700</v>
      </c>
      <c r="G24" s="20">
        <f>3600*G11</f>
        <v>2700</v>
      </c>
      <c r="H24" s="21"/>
      <c r="I24" s="19">
        <f>J24+K24</f>
        <v>2700</v>
      </c>
      <c r="J24" s="20">
        <f>3600*J11</f>
        <v>2700</v>
      </c>
      <c r="K24" s="21"/>
      <c r="L24" s="19">
        <f>M24</f>
        <v>0</v>
      </c>
      <c r="M24" s="20">
        <f t="shared" si="1"/>
        <v>0</v>
      </c>
      <c r="N24" s="21">
        <v>0</v>
      </c>
      <c r="O24" s="22">
        <v>0</v>
      </c>
      <c r="P24" s="62">
        <f>F24-O24</f>
        <v>2700</v>
      </c>
    </row>
    <row r="25" spans="1:16" ht="15">
      <c r="A25" s="26"/>
      <c r="B25" s="27"/>
      <c r="C25" s="27">
        <f>SUM(C14:C24)</f>
        <v>303059.48</v>
      </c>
      <c r="D25" s="27"/>
      <c r="E25" s="28">
        <v>303059.48</v>
      </c>
      <c r="F25" s="27">
        <f>SUM(F14:F24)</f>
        <v>1145208.94</v>
      </c>
      <c r="G25" s="27">
        <f>SUM(G14:G24)</f>
        <v>2700</v>
      </c>
      <c r="H25" s="28">
        <v>1142508.94</v>
      </c>
      <c r="I25" s="27">
        <f>SUM(I14:I24)</f>
        <v>408476.26</v>
      </c>
      <c r="J25" s="27">
        <f>SUM(J14:J24)</f>
        <v>2700</v>
      </c>
      <c r="K25" s="28">
        <v>1138171.6700000002</v>
      </c>
      <c r="L25" s="27">
        <f>SUM(L14:L24)</f>
        <v>93338.13999999996</v>
      </c>
      <c r="M25" s="27">
        <f>SUM(M14:M24)</f>
        <v>0</v>
      </c>
      <c r="N25" s="28">
        <v>306896.3499999999</v>
      </c>
      <c r="O25" s="27">
        <v>1587501.0424000002</v>
      </c>
      <c r="P25" s="27">
        <f>SUM(P14:P24)</f>
        <v>-455069.5324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471171.69</v>
      </c>
      <c r="M32" s="77"/>
      <c r="N32" s="77"/>
      <c r="O32" s="78"/>
      <c r="P32" s="31"/>
    </row>
    <row r="33" spans="1:16" ht="15">
      <c r="A33" s="35" t="s">
        <v>34</v>
      </c>
      <c r="B33" s="59" t="s">
        <v>81</v>
      </c>
      <c r="C33" s="45"/>
      <c r="D33" s="46"/>
      <c r="E33" s="55"/>
      <c r="F33" s="55"/>
      <c r="G33" s="55"/>
      <c r="H33" s="55"/>
      <c r="I33" s="55"/>
      <c r="J33" s="55"/>
      <c r="K33" s="55"/>
      <c r="L33" s="68">
        <v>242506.82</v>
      </c>
      <c r="M33" s="68"/>
      <c r="N33" s="68"/>
      <c r="O33" s="68"/>
      <c r="P33" s="31"/>
    </row>
    <row r="34" spans="1:16" ht="15">
      <c r="A34" s="35" t="s">
        <v>34</v>
      </c>
      <c r="B34" s="59" t="s">
        <v>37</v>
      </c>
      <c r="C34" s="45"/>
      <c r="D34" s="46"/>
      <c r="E34" s="55"/>
      <c r="F34" s="55"/>
      <c r="G34" s="55"/>
      <c r="H34" s="55"/>
      <c r="I34" s="55"/>
      <c r="J34" s="55"/>
      <c r="K34" s="55"/>
      <c r="L34" s="68">
        <v>41899.42</v>
      </c>
      <c r="M34" s="68"/>
      <c r="N34" s="68"/>
      <c r="O34" s="68"/>
      <c r="P34" s="31"/>
    </row>
    <row r="35" spans="1:16" ht="15">
      <c r="A35" s="35" t="s">
        <v>34</v>
      </c>
      <c r="B35" s="59" t="s">
        <v>79</v>
      </c>
      <c r="C35" s="45"/>
      <c r="D35" s="46"/>
      <c r="E35" s="55"/>
      <c r="F35" s="55"/>
      <c r="G35" s="55"/>
      <c r="H35" s="55"/>
      <c r="I35" s="55"/>
      <c r="J35" s="55"/>
      <c r="K35" s="55"/>
      <c r="L35" s="68">
        <v>2729.46</v>
      </c>
      <c r="M35" s="68"/>
      <c r="N35" s="68"/>
      <c r="O35" s="68"/>
      <c r="P35" s="31"/>
    </row>
    <row r="36" spans="1:16" ht="15">
      <c r="A36" s="35" t="s">
        <v>34</v>
      </c>
      <c r="B36" s="59" t="s">
        <v>80</v>
      </c>
      <c r="C36" s="45"/>
      <c r="D36" s="46"/>
      <c r="E36" s="55"/>
      <c r="F36" s="55"/>
      <c r="G36" s="55"/>
      <c r="H36" s="55"/>
      <c r="I36" s="55"/>
      <c r="J36" s="55"/>
      <c r="K36" s="55"/>
      <c r="L36" s="68">
        <v>1000</v>
      </c>
      <c r="M36" s="68"/>
      <c r="N36" s="68"/>
      <c r="O36" s="68"/>
      <c r="P36" s="31"/>
    </row>
    <row r="37" spans="1:16" ht="15">
      <c r="A37" s="35" t="s">
        <v>34</v>
      </c>
      <c r="B37" s="59" t="s">
        <v>82</v>
      </c>
      <c r="C37" s="45"/>
      <c r="D37" s="46"/>
      <c r="E37" s="55"/>
      <c r="F37" s="55"/>
      <c r="G37" s="55"/>
      <c r="H37" s="55"/>
      <c r="I37" s="55"/>
      <c r="J37" s="55"/>
      <c r="K37" s="55"/>
      <c r="L37" s="68">
        <v>181500</v>
      </c>
      <c r="M37" s="68"/>
      <c r="N37" s="68"/>
      <c r="O37" s="68"/>
      <c r="P37" s="31"/>
    </row>
    <row r="38" spans="1:16" ht="15">
      <c r="A38" s="35" t="s">
        <v>34</v>
      </c>
      <c r="B38" s="59" t="s">
        <v>38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1535.99</v>
      </c>
      <c r="M38" s="68"/>
      <c r="N38" s="68"/>
      <c r="O38" s="68"/>
      <c r="P38" s="31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69"/>
      <c r="M39" s="69"/>
      <c r="N39" s="69"/>
      <c r="O39" s="69"/>
      <c r="P39" s="44"/>
    </row>
    <row r="40" spans="1:16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44"/>
    </row>
    <row r="41" spans="1:15" ht="15">
      <c r="A41" s="39" t="s">
        <v>39</v>
      </c>
      <c r="B41" s="40" t="s">
        <v>135</v>
      </c>
      <c r="C41" s="40"/>
      <c r="D41" s="40"/>
      <c r="E41" s="40"/>
      <c r="F41" s="40"/>
      <c r="G41" s="40"/>
      <c r="H41" s="40"/>
      <c r="I41" s="40"/>
      <c r="J41" s="40"/>
      <c r="K41" s="40"/>
      <c r="L41" s="70">
        <f>P25</f>
        <v>-455069.5324</v>
      </c>
      <c r="M41" s="71"/>
      <c r="N41" s="71"/>
      <c r="O41" s="72"/>
    </row>
    <row r="42" spans="1:16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5" ht="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1"/>
      <c r="N43" s="41"/>
      <c r="O43" s="42"/>
    </row>
    <row r="44" spans="2:16" ht="15">
      <c r="B44" s="43" t="s">
        <v>45</v>
      </c>
      <c r="C44" s="43"/>
      <c r="D44" s="43"/>
      <c r="E44" s="43"/>
      <c r="F44" s="43"/>
      <c r="G44" s="43"/>
      <c r="H44" s="43"/>
      <c r="I44" s="43"/>
      <c r="J44" s="43"/>
      <c r="K44" s="43"/>
      <c r="L44" s="43" t="s">
        <v>41</v>
      </c>
      <c r="M44" s="43"/>
      <c r="N44" s="43"/>
      <c r="O44" s="6"/>
      <c r="P44" s="3"/>
    </row>
  </sheetData>
  <sheetProtection/>
  <mergeCells count="28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L29:O29"/>
    <mergeCell ref="B30:K30"/>
    <mergeCell ref="L30:O30"/>
    <mergeCell ref="B32:K32"/>
    <mergeCell ref="L32:O32"/>
    <mergeCell ref="L33:O33"/>
    <mergeCell ref="L34:O34"/>
    <mergeCell ref="L35:O35"/>
    <mergeCell ref="L36:O36"/>
    <mergeCell ref="L37:O37"/>
    <mergeCell ref="L38:O38"/>
    <mergeCell ref="L39:O39"/>
    <mergeCell ref="L41:O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PageLayoutView="0" workbookViewId="0" topLeftCell="A10">
      <selection activeCell="L48" sqref="L48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56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11385.5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273.8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0.994360095418949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66"/>
      <c r="H10" s="67"/>
      <c r="I10" s="67"/>
      <c r="J10" s="66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6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438706.95999999996</v>
      </c>
      <c r="D14" s="20">
        <v>9427</v>
      </c>
      <c r="E14" s="21">
        <v>429279.95999999996</v>
      </c>
      <c r="F14" s="19">
        <f>G14+H14</f>
        <v>1806506.2899999998</v>
      </c>
      <c r="G14" s="20">
        <v>42712.8</v>
      </c>
      <c r="H14" s="21">
        <v>1763793.4899999998</v>
      </c>
      <c r="I14" s="19">
        <f>J14+K14</f>
        <v>1785689.6600000001</v>
      </c>
      <c r="J14" s="20">
        <v>40059.89</v>
      </c>
      <c r="K14" s="21">
        <v>1745629.7700000003</v>
      </c>
      <c r="L14" s="19">
        <f>M14+N14</f>
        <v>459484.4699999995</v>
      </c>
      <c r="M14" s="20">
        <f>D14+G14-J14</f>
        <v>12079.910000000003</v>
      </c>
      <c r="N14" s="21">
        <v>447404.5599999995</v>
      </c>
      <c r="O14" s="22">
        <v>2105992.5678</v>
      </c>
      <c r="P14" s="62">
        <f>F14-O14</f>
        <v>-299486.27780000004</v>
      </c>
    </row>
    <row r="15" spans="1:16" ht="45">
      <c r="A15" s="17">
        <v>2</v>
      </c>
      <c r="B15" s="18" t="s">
        <v>17</v>
      </c>
      <c r="C15" s="19">
        <v>12407.03</v>
      </c>
      <c r="D15" s="20"/>
      <c r="E15" s="21">
        <v>12407.03</v>
      </c>
      <c r="F15" s="19">
        <f>G15+H15</f>
        <v>20144.85</v>
      </c>
      <c r="G15" s="20"/>
      <c r="H15" s="21">
        <v>20144.85</v>
      </c>
      <c r="I15" s="19">
        <f>J15+K15</f>
        <v>27471.64</v>
      </c>
      <c r="J15" s="20"/>
      <c r="K15" s="21">
        <v>27471.64</v>
      </c>
      <c r="L15" s="19">
        <v>5046.349999999998</v>
      </c>
      <c r="M15" s="20">
        <v>0</v>
      </c>
      <c r="N15" s="21">
        <v>5046.349999999998</v>
      </c>
      <c r="O15" s="22">
        <f>14697.9+5446.95</f>
        <v>20144.85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93722.45</v>
      </c>
      <c r="D16" s="20"/>
      <c r="E16" s="21">
        <v>93722.45</v>
      </c>
      <c r="F16" s="19">
        <f>G16+H16</f>
        <v>504908.12</v>
      </c>
      <c r="G16" s="20"/>
      <c r="H16" s="21">
        <v>504908.12</v>
      </c>
      <c r="I16" s="19">
        <f>J16+K16</f>
        <v>496279.82</v>
      </c>
      <c r="J16" s="20"/>
      <c r="K16" s="21">
        <v>496279.82</v>
      </c>
      <c r="L16" s="19">
        <v>102350.74999999994</v>
      </c>
      <c r="M16" s="20">
        <v>0</v>
      </c>
      <c r="N16" s="21">
        <v>102350.74999999994</v>
      </c>
      <c r="O16" s="22">
        <v>471508.1751</v>
      </c>
      <c r="P16" s="65">
        <v>3399.9449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>G17+H17</f>
        <v>0</v>
      </c>
      <c r="G17" s="20"/>
      <c r="H17" s="21"/>
      <c r="I17" s="19">
        <f>J17+K17</f>
        <v>0</v>
      </c>
      <c r="J17" s="20"/>
      <c r="K17" s="21"/>
      <c r="L17" s="19">
        <v>-362.69</v>
      </c>
      <c r="M17" s="20">
        <v>0</v>
      </c>
      <c r="N17" s="21">
        <v>-362.69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11632</v>
      </c>
      <c r="D18" s="20">
        <v>11632</v>
      </c>
      <c r="E18" s="21"/>
      <c r="F18" s="19">
        <f>G18+H18</f>
        <v>71483.66</v>
      </c>
      <c r="G18" s="24">
        <v>71483.66</v>
      </c>
      <c r="H18" s="21"/>
      <c r="I18" s="19">
        <f>J18+K18</f>
        <v>69606.64</v>
      </c>
      <c r="J18" s="20">
        <v>69606.64</v>
      </c>
      <c r="K18" s="21"/>
      <c r="L18" s="19">
        <v>748.25</v>
      </c>
      <c r="M18" s="20">
        <v>748.25</v>
      </c>
      <c r="N18" s="21">
        <v>0</v>
      </c>
      <c r="O18" s="22">
        <v>71483.66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42464.57</v>
      </c>
      <c r="D22" s="20"/>
      <c r="E22" s="21">
        <v>42464.57</v>
      </c>
      <c r="F22" s="19">
        <v>228686.98</v>
      </c>
      <c r="G22" s="20"/>
      <c r="H22" s="21">
        <v>228686.98</v>
      </c>
      <c r="I22" s="19">
        <v>224909.74</v>
      </c>
      <c r="J22" s="20"/>
      <c r="K22" s="21">
        <v>224909.74</v>
      </c>
      <c r="L22" s="19">
        <v>46236.71</v>
      </c>
      <c r="M22" s="20">
        <v>0</v>
      </c>
      <c r="N22" s="21">
        <v>46236.71</v>
      </c>
      <c r="O22" s="22">
        <v>228686.97999999998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18000</v>
      </c>
      <c r="G24" s="20">
        <f>24000*G11</f>
        <v>18000</v>
      </c>
      <c r="H24" s="21"/>
      <c r="I24" s="19">
        <f>J24+K24</f>
        <v>18000</v>
      </c>
      <c r="J24" s="20">
        <f>24000*J11</f>
        <v>18000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18000</v>
      </c>
    </row>
    <row r="25" spans="1:16" ht="15">
      <c r="A25" s="26"/>
      <c r="B25" s="27"/>
      <c r="C25" s="27">
        <v>598933.0099999999</v>
      </c>
      <c r="D25" s="27">
        <v>21059</v>
      </c>
      <c r="E25" s="28">
        <v>577874.0099999999</v>
      </c>
      <c r="F25" s="27">
        <f>SUM(F14:F24)</f>
        <v>2649729.9</v>
      </c>
      <c r="G25" s="27">
        <v>135836.805</v>
      </c>
      <c r="H25" s="28">
        <v>2517533.44</v>
      </c>
      <c r="I25" s="27">
        <v>2638405.49</v>
      </c>
      <c r="J25" s="27">
        <v>144114.52000000002</v>
      </c>
      <c r="K25" s="28">
        <v>2494290.9699999997</v>
      </c>
      <c r="L25" s="27">
        <f>SUM(L14:L24)</f>
        <v>613503.8399999994</v>
      </c>
      <c r="M25" s="27">
        <f>SUM(M14:M24)</f>
        <v>12828.160000000003</v>
      </c>
      <c r="N25" s="28">
        <v>600675.6799999995</v>
      </c>
      <c r="O25" s="27">
        <v>2890037.7029</v>
      </c>
      <c r="P25" s="27">
        <f>SUM(P14:P24)</f>
        <v>-278086.33290000004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699411.4600000001</v>
      </c>
      <c r="M32" s="77"/>
      <c r="N32" s="77"/>
      <c r="O32" s="78"/>
      <c r="P32" s="31"/>
    </row>
    <row r="33" spans="1:16" ht="15">
      <c r="A33" s="35" t="s">
        <v>34</v>
      </c>
      <c r="B33" s="59" t="s">
        <v>37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37243.97</v>
      </c>
      <c r="M33" s="68"/>
      <c r="N33" s="68"/>
      <c r="O33" s="68"/>
      <c r="P33" s="31"/>
    </row>
    <row r="34" spans="1:16" ht="15">
      <c r="A34" s="35" t="s">
        <v>34</v>
      </c>
      <c r="B34" s="59" t="s">
        <v>87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112559</v>
      </c>
      <c r="M34" s="68"/>
      <c r="N34" s="68"/>
      <c r="O34" s="68"/>
      <c r="P34" s="31"/>
    </row>
    <row r="35" spans="1:16" ht="15">
      <c r="A35" s="35" t="s">
        <v>34</v>
      </c>
      <c r="B35" s="59" t="s">
        <v>87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164637.45</v>
      </c>
      <c r="M35" s="68"/>
      <c r="N35" s="68"/>
      <c r="O35" s="68"/>
      <c r="P35" s="31"/>
    </row>
    <row r="36" spans="1:16" ht="15">
      <c r="A36" s="35" t="s">
        <v>34</v>
      </c>
      <c r="B36" s="59" t="s">
        <v>98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156283.91</v>
      </c>
      <c r="M36" s="68"/>
      <c r="N36" s="68"/>
      <c r="O36" s="68"/>
      <c r="P36" s="31"/>
    </row>
    <row r="37" spans="1:16" ht="15">
      <c r="A37" s="35" t="s">
        <v>34</v>
      </c>
      <c r="B37" s="59" t="s">
        <v>82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203619</v>
      </c>
      <c r="M37" s="68"/>
      <c r="N37" s="68"/>
      <c r="O37" s="68"/>
      <c r="P37" s="31"/>
    </row>
    <row r="38" spans="1:16" ht="15">
      <c r="A38" s="35" t="s">
        <v>34</v>
      </c>
      <c r="B38" s="59" t="s">
        <v>79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1364.73</v>
      </c>
      <c r="M38" s="68"/>
      <c r="N38" s="68"/>
      <c r="O38" s="68"/>
      <c r="P38" s="31"/>
    </row>
    <row r="39" spans="1:16" ht="15">
      <c r="A39" s="35" t="s">
        <v>34</v>
      </c>
      <c r="B39" s="59" t="s">
        <v>80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1000</v>
      </c>
      <c r="M39" s="68"/>
      <c r="N39" s="68"/>
      <c r="O39" s="68"/>
      <c r="P39" s="31"/>
    </row>
    <row r="40" spans="1:16" ht="15">
      <c r="A40" s="35" t="s">
        <v>34</v>
      </c>
      <c r="B40" s="59" t="s">
        <v>35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1505.9</v>
      </c>
      <c r="M40" s="68"/>
      <c r="N40" s="68"/>
      <c r="O40" s="68"/>
      <c r="P40" s="31"/>
    </row>
    <row r="41" spans="1:16" ht="15">
      <c r="A41" s="35" t="s">
        <v>34</v>
      </c>
      <c r="B41" s="59" t="s">
        <v>35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1305.48</v>
      </c>
      <c r="M41" s="68"/>
      <c r="N41" s="68"/>
      <c r="O41" s="68"/>
      <c r="P41" s="31"/>
    </row>
    <row r="42" spans="1:16" ht="15">
      <c r="A42" s="35" t="s">
        <v>34</v>
      </c>
      <c r="B42" s="59" t="s">
        <v>99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14024.29</v>
      </c>
      <c r="M42" s="68"/>
      <c r="N42" s="68"/>
      <c r="O42" s="68"/>
      <c r="P42" s="44"/>
    </row>
    <row r="43" spans="1:16" ht="15">
      <c r="A43" s="35" t="s">
        <v>34</v>
      </c>
      <c r="B43" s="59" t="s">
        <v>79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960</v>
      </c>
      <c r="M43" s="68"/>
      <c r="N43" s="68"/>
      <c r="O43" s="68"/>
      <c r="P43" s="44"/>
    </row>
    <row r="44" spans="1:16" ht="15">
      <c r="A44" s="35" t="s">
        <v>34</v>
      </c>
      <c r="B44" s="59" t="s">
        <v>38</v>
      </c>
      <c r="C44" s="60"/>
      <c r="D44" s="61"/>
      <c r="E44" s="58"/>
      <c r="F44" s="58"/>
      <c r="G44" s="58"/>
      <c r="H44" s="58"/>
      <c r="I44" s="58"/>
      <c r="J44" s="58"/>
      <c r="K44" s="58"/>
      <c r="L44" s="68">
        <v>4907.73</v>
      </c>
      <c r="M44" s="68"/>
      <c r="N44" s="68"/>
      <c r="O44" s="68"/>
      <c r="P44" s="44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44"/>
    </row>
    <row r="46" spans="1:16" ht="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44"/>
    </row>
    <row r="47" spans="1:15" ht="15">
      <c r="A47" s="39" t="s">
        <v>39</v>
      </c>
      <c r="B47" s="40" t="s">
        <v>135</v>
      </c>
      <c r="C47" s="40"/>
      <c r="D47" s="40"/>
      <c r="E47" s="40"/>
      <c r="F47" s="40"/>
      <c r="G47" s="40"/>
      <c r="H47" s="40"/>
      <c r="I47" s="40"/>
      <c r="J47" s="40"/>
      <c r="K47" s="40"/>
      <c r="L47" s="70">
        <f>P25</f>
        <v>-278086.33290000004</v>
      </c>
      <c r="M47" s="71"/>
      <c r="N47" s="71"/>
      <c r="O47" s="72"/>
    </row>
    <row r="48" spans="1:16" ht="15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5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2"/>
    </row>
    <row r="50" spans="2:16" ht="15">
      <c r="B50" s="43" t="s">
        <v>45</v>
      </c>
      <c r="C50" s="43"/>
      <c r="D50" s="43"/>
      <c r="E50" s="43"/>
      <c r="F50" s="43"/>
      <c r="G50" s="43"/>
      <c r="H50" s="43"/>
      <c r="I50" s="43"/>
      <c r="J50" s="43"/>
      <c r="K50" s="43"/>
      <c r="L50" s="43" t="s">
        <v>41</v>
      </c>
      <c r="M50" s="43"/>
      <c r="N50" s="43"/>
      <c r="O50" s="6"/>
      <c r="P50" s="3"/>
    </row>
  </sheetData>
  <sheetProtection/>
  <mergeCells count="33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L35:O35"/>
    <mergeCell ref="L36:O36"/>
    <mergeCell ref="B30:K30"/>
    <mergeCell ref="L30:O30"/>
    <mergeCell ref="B32:K32"/>
    <mergeCell ref="L32:O32"/>
    <mergeCell ref="L33:O33"/>
    <mergeCell ref="L34:O34"/>
    <mergeCell ref="L43:O43"/>
    <mergeCell ref="L44:O44"/>
    <mergeCell ref="L47:O47"/>
    <mergeCell ref="L29:O29"/>
    <mergeCell ref="L37:O37"/>
    <mergeCell ref="L38:O38"/>
    <mergeCell ref="L39:O39"/>
    <mergeCell ref="L40:O40"/>
    <mergeCell ref="L41:O41"/>
    <mergeCell ref="L42:O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="80" zoomScaleNormal="80" zoomScalePageLayoutView="0" workbookViewId="0" topLeftCell="A10">
      <selection activeCell="M44" sqref="M44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28125" style="2" hidden="1" customWidth="1" outlineLevel="1"/>
    <col min="4" max="4" width="15.421875" style="2" customWidth="1" collapsed="1"/>
    <col min="5" max="5" width="11.57421875" style="2" customWidth="1" outlineLevel="1"/>
    <col min="6" max="6" width="13.7109375" style="3" customWidth="1" outlineLevel="1"/>
    <col min="7" max="7" width="12.8515625" style="2" customWidth="1"/>
    <col min="8" max="8" width="14.57421875" style="2" customWidth="1" outlineLevel="1"/>
    <col min="9" max="9" width="14.7109375" style="2" customWidth="1" outlineLevel="1"/>
    <col min="10" max="10" width="13.140625" style="2" customWidth="1"/>
    <col min="11" max="11" width="14.00390625" style="2" customWidth="1" outlineLevel="1"/>
    <col min="12" max="12" width="15.57421875" style="2" customWidth="1" outlineLevel="1"/>
    <col min="13" max="13" width="13.28125" style="2" customWidth="1"/>
    <col min="14" max="15" width="13.28125" style="2" customWidth="1" outlineLevel="1"/>
    <col min="16" max="16" width="15.8515625" style="2" customWidth="1"/>
    <col min="17" max="17" width="14.140625" style="2" customWidth="1"/>
    <col min="18" max="18" width="11.421875" style="2" customWidth="1" outlineLevel="1"/>
    <col min="19" max="19" width="15.00390625" style="2" customWidth="1" outlineLevel="1"/>
    <col min="20" max="20" width="13.140625" style="2" customWidth="1" outlineLevel="1"/>
    <col min="21" max="21" width="11.7109375" style="2" customWidth="1" outlineLevel="1"/>
    <col min="22" max="22" width="13.140625" style="2" customWidth="1" outlineLevel="1"/>
    <col min="23" max="23" width="13.140625" style="2" customWidth="1" outlineLevel="1" collapsed="1"/>
    <col min="24" max="24" width="15.28125" style="2" customWidth="1" outlineLevel="1"/>
    <col min="25" max="25" width="16.140625" style="2" customWidth="1" outlineLevel="1"/>
    <col min="26" max="26" width="10.8515625" style="2" customWidth="1" outlineLevel="1"/>
    <col min="27" max="27" width="10.7109375" style="2" bestFit="1" customWidth="1"/>
    <col min="28" max="16384" width="9.140625" style="2" customWidth="1"/>
  </cols>
  <sheetData>
    <row r="1" spans="1:17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57"/>
    </row>
    <row r="2" spans="1:17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"/>
    </row>
    <row r="3" spans="1:17" ht="18.75">
      <c r="A3" s="1"/>
      <c r="B3" s="4" t="s">
        <v>57</v>
      </c>
      <c r="C3" s="5"/>
      <c r="D3" s="1"/>
      <c r="E3" s="5"/>
      <c r="F3" s="57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6" t="s">
        <v>44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.75">
      <c r="A5" s="1"/>
      <c r="B5" s="7" t="s">
        <v>147</v>
      </c>
      <c r="C5" s="1"/>
      <c r="D5" s="1"/>
      <c r="E5" s="1"/>
      <c r="F5" s="57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2" t="s">
        <v>2</v>
      </c>
      <c r="C6" s="1"/>
      <c r="D6" s="8">
        <v>7791.5</v>
      </c>
      <c r="E6" s="1"/>
      <c r="F6" s="5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2" t="s">
        <v>3</v>
      </c>
      <c r="C7" s="1"/>
      <c r="D7" s="8"/>
      <c r="E7" s="1"/>
      <c r="F7" s="5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9" t="s">
        <v>4</v>
      </c>
      <c r="C8" s="1"/>
      <c r="D8" s="10">
        <v>1.0584499769375622</v>
      </c>
      <c r="E8" s="1"/>
      <c r="F8" s="5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5:10" ht="15">
      <c r="E9" s="8"/>
      <c r="F9" s="11"/>
      <c r="G9" s="8"/>
      <c r="H9" s="8"/>
      <c r="I9" s="8"/>
      <c r="J9" s="8"/>
    </row>
    <row r="10" spans="2:16" ht="15">
      <c r="B10" s="9"/>
      <c r="C10" s="12"/>
      <c r="F10" s="13"/>
      <c r="H10" s="8"/>
      <c r="I10" s="8"/>
      <c r="J10" s="8"/>
      <c r="P10" s="1"/>
    </row>
    <row r="11" spans="1:17" ht="15">
      <c r="A11" s="5" t="s">
        <v>5</v>
      </c>
      <c r="B11" s="1" t="s">
        <v>6</v>
      </c>
      <c r="C11" s="1"/>
      <c r="D11" s="1"/>
      <c r="E11" s="1"/>
      <c r="F11" s="1"/>
      <c r="G11" s="1"/>
      <c r="H11" s="66">
        <v>0.75</v>
      </c>
      <c r="I11" s="67"/>
      <c r="J11" s="67"/>
      <c r="K11" s="66">
        <v>0.75</v>
      </c>
      <c r="L11" s="15"/>
      <c r="P11" s="1"/>
      <c r="Q11" s="5" t="s">
        <v>150</v>
      </c>
    </row>
    <row r="12" spans="1:17" ht="15">
      <c r="A12" s="88" t="s">
        <v>7</v>
      </c>
      <c r="B12" s="88" t="s">
        <v>8</v>
      </c>
      <c r="C12" s="90"/>
      <c r="D12" s="79" t="s">
        <v>9</v>
      </c>
      <c r="E12" s="80" t="s">
        <v>10</v>
      </c>
      <c r="F12" s="80"/>
      <c r="G12" s="79" t="s">
        <v>11</v>
      </c>
      <c r="H12" s="80" t="s">
        <v>10</v>
      </c>
      <c r="I12" s="80"/>
      <c r="J12" s="79" t="s">
        <v>12</v>
      </c>
      <c r="K12" s="80" t="s">
        <v>10</v>
      </c>
      <c r="L12" s="80"/>
      <c r="M12" s="79" t="s">
        <v>13</v>
      </c>
      <c r="N12" s="80" t="s">
        <v>10</v>
      </c>
      <c r="O12" s="80"/>
      <c r="P12" s="81" t="s">
        <v>148</v>
      </c>
      <c r="Q12" s="82" t="s">
        <v>149</v>
      </c>
    </row>
    <row r="13" spans="1:17" ht="134.25" customHeight="1">
      <c r="A13" s="88"/>
      <c r="B13" s="88"/>
      <c r="C13" s="90"/>
      <c r="D13" s="79"/>
      <c r="E13" s="16" t="s">
        <v>14</v>
      </c>
      <c r="F13" s="16" t="s">
        <v>15</v>
      </c>
      <c r="G13" s="79"/>
      <c r="H13" s="16" t="s">
        <v>14</v>
      </c>
      <c r="I13" s="16" t="s">
        <v>15</v>
      </c>
      <c r="J13" s="79"/>
      <c r="K13" s="16" t="s">
        <v>14</v>
      </c>
      <c r="L13" s="16" t="s">
        <v>15</v>
      </c>
      <c r="M13" s="79"/>
      <c r="N13" s="16" t="s">
        <v>14</v>
      </c>
      <c r="O13" s="16" t="s">
        <v>15</v>
      </c>
      <c r="P13" s="81"/>
      <c r="Q13" s="82"/>
    </row>
    <row r="14" spans="1:17" ht="30">
      <c r="A14" s="17">
        <v>1</v>
      </c>
      <c r="B14" s="18" t="s">
        <v>16</v>
      </c>
      <c r="C14" s="18"/>
      <c r="D14" s="19">
        <f>E14+F14</f>
        <v>311715.29999999993</v>
      </c>
      <c r="E14" s="20"/>
      <c r="F14" s="21">
        <v>311715.29999999993</v>
      </c>
      <c r="G14" s="19">
        <f>H14+I14</f>
        <v>1218305.49</v>
      </c>
      <c r="H14" s="20"/>
      <c r="I14" s="21">
        <v>1218305.49</v>
      </c>
      <c r="J14" s="19">
        <f>K14+L14</f>
        <v>1287210.82</v>
      </c>
      <c r="K14" s="20"/>
      <c r="L14" s="21">
        <v>1287210.82</v>
      </c>
      <c r="M14" s="19">
        <f>N14+O14</f>
        <v>242809.96999999997</v>
      </c>
      <c r="N14" s="20">
        <f>E14+H14-K14</f>
        <v>0</v>
      </c>
      <c r="O14" s="21">
        <v>242809.96999999997</v>
      </c>
      <c r="P14" s="22">
        <v>1360239.02715</v>
      </c>
      <c r="Q14" s="62">
        <f>G14-P14</f>
        <v>-141933.53715</v>
      </c>
    </row>
    <row r="15" spans="1:17" ht="45">
      <c r="A15" s="17">
        <v>2</v>
      </c>
      <c r="B15" s="18" t="s">
        <v>17</v>
      </c>
      <c r="C15" s="18"/>
      <c r="D15" s="19">
        <f aca="true" t="shared" si="0" ref="D15:D24">E15+F15</f>
        <v>10283.18</v>
      </c>
      <c r="E15" s="20"/>
      <c r="F15" s="21">
        <v>10283.18</v>
      </c>
      <c r="G15" s="19">
        <v>13339.14</v>
      </c>
      <c r="H15" s="20"/>
      <c r="I15" s="21">
        <v>13339.14</v>
      </c>
      <c r="J15" s="19">
        <v>20114.52</v>
      </c>
      <c r="K15" s="20"/>
      <c r="L15" s="21">
        <v>20114.52</v>
      </c>
      <c r="M15" s="19">
        <v>3507.7999999999993</v>
      </c>
      <c r="N15" s="20">
        <v>0</v>
      </c>
      <c r="O15" s="21">
        <v>3507.7999999999993</v>
      </c>
      <c r="P15" s="22">
        <f>9893.23+3445.91</f>
        <v>13339.14</v>
      </c>
      <c r="Q15" s="62">
        <f>G15-P15</f>
        <v>0</v>
      </c>
    </row>
    <row r="16" spans="1:17" ht="15">
      <c r="A16" s="17">
        <v>3</v>
      </c>
      <c r="B16" s="18" t="s">
        <v>18</v>
      </c>
      <c r="C16" s="18"/>
      <c r="D16" s="19">
        <f t="shared" si="0"/>
        <v>81504.62</v>
      </c>
      <c r="E16" s="20"/>
      <c r="F16" s="21">
        <v>81504.62</v>
      </c>
      <c r="G16" s="19">
        <v>348755.02</v>
      </c>
      <c r="H16" s="20"/>
      <c r="I16" s="21">
        <v>348755.02</v>
      </c>
      <c r="J16" s="19">
        <v>369058.18</v>
      </c>
      <c r="K16" s="20"/>
      <c r="L16" s="21">
        <v>369058.18</v>
      </c>
      <c r="M16" s="19">
        <v>61201.46000000002</v>
      </c>
      <c r="N16" s="20">
        <v>0</v>
      </c>
      <c r="O16" s="21">
        <v>61201.46000000002</v>
      </c>
      <c r="P16" s="22">
        <v>339777.85610000003</v>
      </c>
      <c r="Q16" s="65">
        <v>2977.16389999999</v>
      </c>
    </row>
    <row r="17" spans="1:17" ht="15">
      <c r="A17" s="17"/>
      <c r="B17" s="23" t="s">
        <v>19</v>
      </c>
      <c r="C17" s="18"/>
      <c r="D17" s="19">
        <f t="shared" si="0"/>
        <v>0</v>
      </c>
      <c r="E17" s="20"/>
      <c r="F17" s="21"/>
      <c r="G17" s="19">
        <v>0</v>
      </c>
      <c r="H17" s="20"/>
      <c r="I17" s="21"/>
      <c r="J17" s="19">
        <v>0</v>
      </c>
      <c r="K17" s="20"/>
      <c r="L17" s="21"/>
      <c r="M17" s="19">
        <v>0</v>
      </c>
      <c r="N17" s="20">
        <v>0</v>
      </c>
      <c r="O17" s="21">
        <v>0</v>
      </c>
      <c r="P17" s="22">
        <v>0</v>
      </c>
      <c r="Q17" s="62">
        <v>0</v>
      </c>
    </row>
    <row r="18" spans="1:17" ht="15">
      <c r="A18" s="17">
        <v>4</v>
      </c>
      <c r="B18" s="18" t="s">
        <v>20</v>
      </c>
      <c r="C18" s="18"/>
      <c r="D18" s="19">
        <f t="shared" si="0"/>
        <v>0</v>
      </c>
      <c r="E18" s="20"/>
      <c r="F18" s="21"/>
      <c r="G18" s="19">
        <v>0</v>
      </c>
      <c r="H18" s="24"/>
      <c r="I18" s="21"/>
      <c r="J18" s="19">
        <v>0</v>
      </c>
      <c r="K18" s="20"/>
      <c r="L18" s="21"/>
      <c r="M18" s="19">
        <v>0</v>
      </c>
      <c r="N18" s="20">
        <v>0</v>
      </c>
      <c r="O18" s="21">
        <v>0</v>
      </c>
      <c r="P18" s="22">
        <v>0</v>
      </c>
      <c r="Q18" s="62">
        <v>0</v>
      </c>
    </row>
    <row r="19" spans="1:17" ht="15">
      <c r="A19" s="17"/>
      <c r="B19" s="23" t="s">
        <v>19</v>
      </c>
      <c r="C19" s="18"/>
      <c r="D19" s="19">
        <f t="shared" si="0"/>
        <v>0</v>
      </c>
      <c r="E19" s="20"/>
      <c r="F19" s="21"/>
      <c r="G19" s="19">
        <v>0</v>
      </c>
      <c r="H19" s="24"/>
      <c r="I19" s="21"/>
      <c r="J19" s="19"/>
      <c r="K19" s="20"/>
      <c r="L19" s="21"/>
      <c r="M19" s="19"/>
      <c r="N19" s="20">
        <v>0</v>
      </c>
      <c r="O19" s="21">
        <v>0</v>
      </c>
      <c r="P19" s="22">
        <v>0</v>
      </c>
      <c r="Q19" s="62">
        <v>0</v>
      </c>
    </row>
    <row r="20" spans="1:17" ht="15">
      <c r="A20" s="17">
        <v>5</v>
      </c>
      <c r="B20" s="25" t="s">
        <v>21</v>
      </c>
      <c r="C20" s="18"/>
      <c r="D20" s="19">
        <f t="shared" si="0"/>
        <v>0</v>
      </c>
      <c r="E20" s="20"/>
      <c r="F20" s="21"/>
      <c r="G20" s="19">
        <v>0</v>
      </c>
      <c r="H20" s="20"/>
      <c r="I20" s="21"/>
      <c r="J20" s="19">
        <v>0</v>
      </c>
      <c r="K20" s="20"/>
      <c r="L20" s="21"/>
      <c r="M20" s="19">
        <v>0</v>
      </c>
      <c r="N20" s="20">
        <v>0</v>
      </c>
      <c r="O20" s="21">
        <v>0</v>
      </c>
      <c r="P20" s="22">
        <v>0</v>
      </c>
      <c r="Q20" s="62">
        <v>0</v>
      </c>
    </row>
    <row r="21" spans="1:17" ht="15">
      <c r="A21" s="17">
        <v>6</v>
      </c>
      <c r="B21" s="18" t="s">
        <v>22</v>
      </c>
      <c r="C21" s="18"/>
      <c r="D21" s="19">
        <f t="shared" si="0"/>
        <v>0</v>
      </c>
      <c r="E21" s="20"/>
      <c r="F21" s="21"/>
      <c r="G21" s="19">
        <v>0</v>
      </c>
      <c r="H21" s="20"/>
      <c r="I21" s="21"/>
      <c r="J21" s="19">
        <v>0</v>
      </c>
      <c r="K21" s="20"/>
      <c r="L21" s="21"/>
      <c r="M21" s="19">
        <v>0</v>
      </c>
      <c r="N21" s="20">
        <v>0</v>
      </c>
      <c r="O21" s="21">
        <v>0</v>
      </c>
      <c r="P21" s="22">
        <v>0</v>
      </c>
      <c r="Q21" s="62">
        <v>0</v>
      </c>
    </row>
    <row r="22" spans="1:17" ht="15">
      <c r="A22" s="17">
        <v>7</v>
      </c>
      <c r="B22" s="18" t="s">
        <v>23</v>
      </c>
      <c r="C22" s="18"/>
      <c r="D22" s="19">
        <f t="shared" si="0"/>
        <v>34764.96</v>
      </c>
      <c r="E22" s="20"/>
      <c r="F22" s="21">
        <v>34764.96</v>
      </c>
      <c r="G22" s="19">
        <v>158949.93</v>
      </c>
      <c r="H22" s="20"/>
      <c r="I22" s="21">
        <v>158949.93</v>
      </c>
      <c r="J22" s="19">
        <v>165835.14</v>
      </c>
      <c r="K22" s="20"/>
      <c r="L22" s="21">
        <v>165835.14</v>
      </c>
      <c r="M22" s="19">
        <v>27879.74999999997</v>
      </c>
      <c r="N22" s="20">
        <v>0</v>
      </c>
      <c r="O22" s="21">
        <v>27879.74999999997</v>
      </c>
      <c r="P22" s="22">
        <v>158949.93</v>
      </c>
      <c r="Q22" s="62">
        <v>0</v>
      </c>
    </row>
    <row r="23" spans="1:17" ht="15">
      <c r="A23" s="17">
        <v>8</v>
      </c>
      <c r="B23" s="18" t="s">
        <v>24</v>
      </c>
      <c r="C23" s="18"/>
      <c r="D23" s="19">
        <f t="shared" si="0"/>
        <v>0</v>
      </c>
      <c r="E23" s="20"/>
      <c r="F23" s="21"/>
      <c r="G23" s="19">
        <v>0</v>
      </c>
      <c r="H23" s="20"/>
      <c r="I23" s="21"/>
      <c r="J23" s="19">
        <v>0</v>
      </c>
      <c r="K23" s="20"/>
      <c r="L23" s="21"/>
      <c r="M23" s="19">
        <v>0</v>
      </c>
      <c r="N23" s="20">
        <v>0</v>
      </c>
      <c r="O23" s="21">
        <v>0</v>
      </c>
      <c r="P23" s="22">
        <v>0</v>
      </c>
      <c r="Q23" s="62">
        <v>0</v>
      </c>
    </row>
    <row r="24" spans="1:17" ht="30">
      <c r="A24" s="17">
        <v>9</v>
      </c>
      <c r="B24" s="18" t="s">
        <v>42</v>
      </c>
      <c r="C24" s="18"/>
      <c r="D24" s="19">
        <f t="shared" si="0"/>
        <v>0</v>
      </c>
      <c r="E24" s="20"/>
      <c r="F24" s="21"/>
      <c r="G24" s="19">
        <f>H24+I24</f>
        <v>4050</v>
      </c>
      <c r="H24" s="20">
        <f>5400*H11</f>
        <v>4050</v>
      </c>
      <c r="I24" s="21"/>
      <c r="J24" s="19">
        <f>K24+L24</f>
        <v>4050</v>
      </c>
      <c r="K24" s="20">
        <f>5400*K11</f>
        <v>4050</v>
      </c>
      <c r="L24" s="21"/>
      <c r="M24" s="19">
        <f>N24+O24</f>
        <v>0</v>
      </c>
      <c r="N24" s="20">
        <f>E24+H24-K24</f>
        <v>0</v>
      </c>
      <c r="O24" s="21">
        <v>0</v>
      </c>
      <c r="P24" s="22">
        <v>0</v>
      </c>
      <c r="Q24" s="62">
        <f>G24-P24</f>
        <v>4050</v>
      </c>
    </row>
    <row r="25" spans="1:17" ht="15">
      <c r="A25" s="26"/>
      <c r="B25" s="27"/>
      <c r="C25" s="27"/>
      <c r="D25" s="27">
        <f>SUM(D14:D24)</f>
        <v>438268.05999999994</v>
      </c>
      <c r="E25" s="27"/>
      <c r="F25" s="28">
        <v>438268.05999999994</v>
      </c>
      <c r="G25" s="27">
        <f>SUM(G14:G24)</f>
        <v>1743399.5799999998</v>
      </c>
      <c r="H25" s="27">
        <f>SUM(H14:H24)</f>
        <v>4050</v>
      </c>
      <c r="I25" s="28">
        <v>1739349.5799999998</v>
      </c>
      <c r="J25" s="27">
        <v>1863668.6600000001</v>
      </c>
      <c r="K25" s="27">
        <f>SUM(K14:K24)</f>
        <v>4050</v>
      </c>
      <c r="L25" s="28">
        <v>1842218.6600000001</v>
      </c>
      <c r="M25" s="27">
        <v>336854.105</v>
      </c>
      <c r="N25" s="27">
        <v>1455.125</v>
      </c>
      <c r="O25" s="28">
        <v>335398.98</v>
      </c>
      <c r="P25" s="27">
        <v>1868860.0432499999</v>
      </c>
      <c r="Q25" s="27">
        <f>SUM(Q14:Q24)</f>
        <v>-134906.37325</v>
      </c>
    </row>
    <row r="26" spans="1:17" ht="1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3" ht="15">
      <c r="A28" s="5" t="s">
        <v>25</v>
      </c>
      <c r="B28" s="1" t="s">
        <v>26</v>
      </c>
      <c r="C28" s="1"/>
    </row>
    <row r="29" spans="1:17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 t="s">
        <v>151</v>
      </c>
      <c r="N29" s="85"/>
      <c r="O29" s="85"/>
      <c r="P29" s="86"/>
      <c r="Q29" s="31"/>
    </row>
    <row r="30" spans="1:17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4"/>
      <c r="O30" s="74"/>
      <c r="P30" s="74"/>
      <c r="Q30" s="31"/>
    </row>
    <row r="31" spans="1:17" ht="15">
      <c r="A31" s="32"/>
      <c r="B31" s="59"/>
      <c r="C31" s="60"/>
      <c r="D31" s="61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54"/>
      <c r="P31" s="54"/>
      <c r="Q31" s="33"/>
    </row>
    <row r="32" spans="1:17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410720.79000000004</v>
      </c>
      <c r="N32" s="77"/>
      <c r="O32" s="77"/>
      <c r="P32" s="78"/>
      <c r="Q32" s="31"/>
    </row>
    <row r="33" spans="1:17" ht="15">
      <c r="A33" s="35" t="s">
        <v>34</v>
      </c>
      <c r="B33" s="59" t="s">
        <v>37</v>
      </c>
      <c r="C33" s="60"/>
      <c r="D33" s="60"/>
      <c r="E33" s="61"/>
      <c r="F33" s="58"/>
      <c r="G33" s="58"/>
      <c r="H33" s="58"/>
      <c r="I33" s="58"/>
      <c r="J33" s="58"/>
      <c r="K33" s="58"/>
      <c r="L33" s="58"/>
      <c r="M33" s="68">
        <v>83257.64</v>
      </c>
      <c r="N33" s="68">
        <v>83257.64</v>
      </c>
      <c r="O33" s="68">
        <v>83257.64</v>
      </c>
      <c r="P33" s="68"/>
      <c r="Q33" s="31"/>
    </row>
    <row r="34" spans="1:17" ht="15">
      <c r="A34" s="35" t="s">
        <v>34</v>
      </c>
      <c r="B34" s="59" t="s">
        <v>142</v>
      </c>
      <c r="C34" s="60"/>
      <c r="D34" s="60"/>
      <c r="E34" s="61"/>
      <c r="F34" s="58"/>
      <c r="G34" s="58"/>
      <c r="H34" s="58"/>
      <c r="I34" s="58"/>
      <c r="J34" s="58"/>
      <c r="K34" s="58"/>
      <c r="L34" s="58"/>
      <c r="M34" s="68">
        <v>31503</v>
      </c>
      <c r="N34" s="68">
        <v>31503</v>
      </c>
      <c r="O34" s="68">
        <v>31503</v>
      </c>
      <c r="P34" s="68"/>
      <c r="Q34" s="31"/>
    </row>
    <row r="35" spans="1:17" ht="15">
      <c r="A35" s="35" t="s">
        <v>34</v>
      </c>
      <c r="B35" s="59" t="s">
        <v>79</v>
      </c>
      <c r="C35" s="60"/>
      <c r="D35" s="60"/>
      <c r="E35" s="61"/>
      <c r="F35" s="58"/>
      <c r="G35" s="58"/>
      <c r="H35" s="58"/>
      <c r="I35" s="58"/>
      <c r="J35" s="58"/>
      <c r="K35" s="58"/>
      <c r="L35" s="58"/>
      <c r="M35" s="68">
        <v>2729.46</v>
      </c>
      <c r="N35" s="68">
        <v>2729.46</v>
      </c>
      <c r="O35" s="68">
        <v>2729.46</v>
      </c>
      <c r="P35" s="68"/>
      <c r="Q35" s="31"/>
    </row>
    <row r="36" spans="1:17" ht="15">
      <c r="A36" s="35" t="s">
        <v>34</v>
      </c>
      <c r="B36" s="59" t="s">
        <v>35</v>
      </c>
      <c r="C36" s="60"/>
      <c r="D36" s="60"/>
      <c r="E36" s="61"/>
      <c r="F36" s="58"/>
      <c r="G36" s="58"/>
      <c r="H36" s="58"/>
      <c r="I36" s="58"/>
      <c r="J36" s="58"/>
      <c r="K36" s="58"/>
      <c r="L36" s="58"/>
      <c r="M36" s="68">
        <v>584.78</v>
      </c>
      <c r="N36" s="68">
        <v>584.78</v>
      </c>
      <c r="O36" s="68">
        <v>584.78</v>
      </c>
      <c r="P36" s="68"/>
      <c r="Q36" s="31"/>
    </row>
    <row r="37" spans="1:17" ht="15">
      <c r="A37" s="35" t="s">
        <v>34</v>
      </c>
      <c r="B37" s="59" t="s">
        <v>80</v>
      </c>
      <c r="C37" s="60"/>
      <c r="D37" s="60"/>
      <c r="E37" s="61"/>
      <c r="F37" s="58"/>
      <c r="G37" s="58"/>
      <c r="H37" s="58"/>
      <c r="I37" s="58"/>
      <c r="J37" s="58"/>
      <c r="K37" s="58"/>
      <c r="L37" s="58"/>
      <c r="M37" s="68">
        <v>1000</v>
      </c>
      <c r="N37" s="68">
        <v>1000</v>
      </c>
      <c r="O37" s="68">
        <v>1000</v>
      </c>
      <c r="P37" s="68"/>
      <c r="Q37" s="31"/>
    </row>
    <row r="38" spans="1:17" ht="15">
      <c r="A38" s="35" t="s">
        <v>34</v>
      </c>
      <c r="B38" s="59" t="s">
        <v>82</v>
      </c>
      <c r="C38" s="60"/>
      <c r="D38" s="60"/>
      <c r="E38" s="61"/>
      <c r="F38" s="58"/>
      <c r="G38" s="58"/>
      <c r="H38" s="58"/>
      <c r="I38" s="58"/>
      <c r="J38" s="58"/>
      <c r="K38" s="58"/>
      <c r="L38" s="58"/>
      <c r="M38" s="68">
        <v>190000</v>
      </c>
      <c r="N38" s="68">
        <v>190000</v>
      </c>
      <c r="O38" s="68">
        <v>190000</v>
      </c>
      <c r="P38" s="68"/>
      <c r="Q38" s="31"/>
    </row>
    <row r="39" spans="1:17" ht="15">
      <c r="A39" s="35" t="s">
        <v>34</v>
      </c>
      <c r="B39" s="59" t="s">
        <v>134</v>
      </c>
      <c r="C39" s="60"/>
      <c r="D39" s="60"/>
      <c r="E39" s="61"/>
      <c r="F39" s="58"/>
      <c r="G39" s="58"/>
      <c r="H39" s="58"/>
      <c r="I39" s="58"/>
      <c r="J39" s="58"/>
      <c r="K39" s="58"/>
      <c r="L39" s="58"/>
      <c r="M39" s="68">
        <v>100120.66</v>
      </c>
      <c r="N39" s="68">
        <v>100120.66</v>
      </c>
      <c r="O39" s="68">
        <v>100120.66</v>
      </c>
      <c r="P39" s="68"/>
      <c r="Q39" s="31"/>
    </row>
    <row r="40" spans="1:17" ht="15">
      <c r="A40" s="35" t="s">
        <v>34</v>
      </c>
      <c r="B40" s="59" t="s">
        <v>38</v>
      </c>
      <c r="C40" s="60"/>
      <c r="D40" s="60"/>
      <c r="E40" s="61"/>
      <c r="F40" s="58"/>
      <c r="G40" s="58"/>
      <c r="H40" s="58"/>
      <c r="I40" s="58"/>
      <c r="J40" s="58"/>
      <c r="K40" s="58"/>
      <c r="L40" s="58"/>
      <c r="M40" s="68">
        <v>1525.25</v>
      </c>
      <c r="N40" s="68">
        <v>1525.25</v>
      </c>
      <c r="O40" s="68">
        <v>1525.25</v>
      </c>
      <c r="P40" s="68"/>
      <c r="Q40" s="31"/>
    </row>
    <row r="41" spans="1:17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69"/>
      <c r="N41" s="69"/>
      <c r="O41" s="69"/>
      <c r="P41" s="69"/>
      <c r="Q41" s="44"/>
    </row>
    <row r="42" spans="1:17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44"/>
    </row>
    <row r="43" spans="1:16" ht="15">
      <c r="A43" s="39" t="s">
        <v>39</v>
      </c>
      <c r="B43" s="40" t="s">
        <v>135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70">
        <f>Q25</f>
        <v>-134906.37325</v>
      </c>
      <c r="N43" s="71"/>
      <c r="O43" s="71"/>
      <c r="P43" s="72"/>
    </row>
    <row r="44" spans="1:17" ht="15">
      <c r="A44" s="29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6" ht="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  <c r="N45" s="41"/>
      <c r="O45" s="41"/>
      <c r="P45" s="42"/>
    </row>
    <row r="46" spans="2:17" ht="15">
      <c r="B46" s="43" t="s">
        <v>45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 t="s">
        <v>41</v>
      </c>
      <c r="N46" s="43"/>
      <c r="O46" s="43"/>
      <c r="P46" s="6"/>
      <c r="Q46" s="3"/>
    </row>
  </sheetData>
  <sheetProtection/>
  <mergeCells count="31">
    <mergeCell ref="M38:P38"/>
    <mergeCell ref="G12:G13"/>
    <mergeCell ref="Q12:Q13"/>
    <mergeCell ref="P12:P13"/>
    <mergeCell ref="H12:I12"/>
    <mergeCell ref="K12:L12"/>
    <mergeCell ref="M43:P43"/>
    <mergeCell ref="M29:P29"/>
    <mergeCell ref="M33:P33"/>
    <mergeCell ref="M34:P34"/>
    <mergeCell ref="M35:P35"/>
    <mergeCell ref="B29:L29"/>
    <mergeCell ref="M37:P37"/>
    <mergeCell ref="A1:P1"/>
    <mergeCell ref="A2:P2"/>
    <mergeCell ref="A12:A13"/>
    <mergeCell ref="B12:B13"/>
    <mergeCell ref="C12:C13"/>
    <mergeCell ref="M32:P32"/>
    <mergeCell ref="E12:F12"/>
    <mergeCell ref="D12:D13"/>
    <mergeCell ref="N12:O12"/>
    <mergeCell ref="M12:M13"/>
    <mergeCell ref="M39:P39"/>
    <mergeCell ref="M41:P41"/>
    <mergeCell ref="J12:J13"/>
    <mergeCell ref="M36:P36"/>
    <mergeCell ref="B30:L30"/>
    <mergeCell ref="M30:P30"/>
    <mergeCell ref="B32:L32"/>
    <mergeCell ref="M40:P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PageLayoutView="0" workbookViewId="0" topLeftCell="A13">
      <selection activeCell="L48" sqref="L48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58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7818.6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1.0182459901703524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4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239292.08000000002</v>
      </c>
      <c r="D14" s="20"/>
      <c r="E14" s="21">
        <v>239292.08000000002</v>
      </c>
      <c r="F14" s="19">
        <f>G14+H14</f>
        <v>1185062.0799999998</v>
      </c>
      <c r="G14" s="20"/>
      <c r="H14" s="21">
        <v>1185062.0799999998</v>
      </c>
      <c r="I14" s="19">
        <f>J14+K14</f>
        <v>1198569.59</v>
      </c>
      <c r="J14" s="20"/>
      <c r="K14" s="21">
        <v>1198569.59</v>
      </c>
      <c r="L14" s="19">
        <f>M14+N14</f>
        <v>225810.86999999982</v>
      </c>
      <c r="M14" s="20">
        <f>D14+G14-J14</f>
        <v>0</v>
      </c>
      <c r="N14" s="21">
        <v>225810.86999999982</v>
      </c>
      <c r="O14" s="22">
        <v>1427252.18655</v>
      </c>
      <c r="P14" s="62">
        <f>F14-O14</f>
        <v>-242190.10655000014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14508.52</v>
      </c>
      <c r="D15" s="20"/>
      <c r="E15" s="21">
        <v>14508.52</v>
      </c>
      <c r="F15" s="19">
        <v>18079.59</v>
      </c>
      <c r="G15" s="20"/>
      <c r="H15" s="21">
        <v>18079.59</v>
      </c>
      <c r="I15" s="19">
        <v>27577.02</v>
      </c>
      <c r="J15" s="20"/>
      <c r="K15" s="21">
        <v>27577.02</v>
      </c>
      <c r="L15" s="19">
        <v>5011.09</v>
      </c>
      <c r="M15" s="20">
        <v>0</v>
      </c>
      <c r="N15" s="21">
        <v>5011.09</v>
      </c>
      <c r="O15" s="22">
        <f>12641.18+5438.41</f>
        <v>18079.59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72166.68</v>
      </c>
      <c r="D16" s="20"/>
      <c r="E16" s="21">
        <v>72166.68</v>
      </c>
      <c r="F16" s="19">
        <v>349553.88</v>
      </c>
      <c r="G16" s="20"/>
      <c r="H16" s="21">
        <v>349553.88</v>
      </c>
      <c r="I16" s="19">
        <v>353858.92</v>
      </c>
      <c r="J16" s="20"/>
      <c r="K16" s="21">
        <v>353858.92</v>
      </c>
      <c r="L16" s="19">
        <v>67861.64000000001</v>
      </c>
      <c r="M16" s="20">
        <v>0</v>
      </c>
      <c r="N16" s="21">
        <v>67861.64000000001</v>
      </c>
      <c r="O16" s="22">
        <v>327279.6534</v>
      </c>
      <c r="P16" s="65">
        <v>2274.2266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-646.18</v>
      </c>
      <c r="M17" s="20">
        <v>0</v>
      </c>
      <c r="N17" s="21">
        <v>-646.18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1811.03</v>
      </c>
      <c r="D18" s="20"/>
      <c r="E18" s="21">
        <v>1811.03</v>
      </c>
      <c r="F18" s="19">
        <v>0</v>
      </c>
      <c r="G18" s="24"/>
      <c r="H18" s="21"/>
      <c r="I18" s="19">
        <v>60.24</v>
      </c>
      <c r="J18" s="20"/>
      <c r="K18" s="21">
        <v>60.24</v>
      </c>
      <c r="L18" s="19">
        <v>1750.79</v>
      </c>
      <c r="M18" s="20">
        <v>0</v>
      </c>
      <c r="N18" s="21">
        <v>1750.79</v>
      </c>
      <c r="O18" s="22">
        <v>0</v>
      </c>
      <c r="P18" s="62">
        <f>F18-O18</f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30179.88</v>
      </c>
      <c r="D22" s="20"/>
      <c r="E22" s="21">
        <v>30179.88</v>
      </c>
      <c r="F22" s="19">
        <v>160654.26</v>
      </c>
      <c r="G22" s="20"/>
      <c r="H22" s="21">
        <v>160654.26</v>
      </c>
      <c r="I22" s="19">
        <v>164889.44999999998</v>
      </c>
      <c r="J22" s="20"/>
      <c r="K22" s="21">
        <v>164889.44999999998</v>
      </c>
      <c r="L22" s="19">
        <v>25948.250000000033</v>
      </c>
      <c r="M22" s="20">
        <v>0</v>
      </c>
      <c r="N22" s="21">
        <v>25948.250000000033</v>
      </c>
      <c r="O22" s="22">
        <v>160654.26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f>G24+H24</f>
        <v>4050</v>
      </c>
      <c r="G24" s="20">
        <f>5400*G11</f>
        <v>4050</v>
      </c>
      <c r="H24" s="21"/>
      <c r="I24" s="19">
        <f>J24+K24</f>
        <v>4050</v>
      </c>
      <c r="J24" s="20">
        <f>5400*J11</f>
        <v>4050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4050</v>
      </c>
    </row>
    <row r="25" spans="1:16" ht="15">
      <c r="A25" s="26"/>
      <c r="B25" s="27"/>
      <c r="C25" s="27">
        <f>SUM(C14:C24)</f>
        <v>357958.19000000006</v>
      </c>
      <c r="D25" s="27"/>
      <c r="E25" s="28">
        <v>357958.19000000006</v>
      </c>
      <c r="F25" s="27">
        <f>SUM(F14:F24)</f>
        <v>1717399.8099999998</v>
      </c>
      <c r="G25" s="27">
        <f>SUM(G14:G24)</f>
        <v>4050</v>
      </c>
      <c r="H25" s="28">
        <v>1713349.8099999998</v>
      </c>
      <c r="I25" s="27">
        <f>SUM(I14:I24)</f>
        <v>1749005.22</v>
      </c>
      <c r="J25" s="27">
        <f>SUM(J14:J24)</f>
        <v>4050</v>
      </c>
      <c r="K25" s="28">
        <v>1744955.22</v>
      </c>
      <c r="L25" s="27">
        <f>SUM(L14:L24)</f>
        <v>325736.4599999999</v>
      </c>
      <c r="M25" s="27">
        <f>SUM(M14:M24)</f>
        <v>0</v>
      </c>
      <c r="N25" s="28">
        <v>325736.4599999999</v>
      </c>
      <c r="O25" s="27">
        <v>1927827.2799499999</v>
      </c>
      <c r="P25" s="27">
        <f>SUM(P14:P24)</f>
        <v>-235865.87995000015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519228.32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960</v>
      </c>
      <c r="M33" s="68"/>
      <c r="N33" s="68"/>
      <c r="O33" s="68"/>
      <c r="P33" s="31"/>
    </row>
    <row r="34" spans="1:16" ht="15">
      <c r="A34" s="35" t="s">
        <v>34</v>
      </c>
      <c r="B34" s="59" t="s">
        <v>88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970.64</v>
      </c>
      <c r="M34" s="68"/>
      <c r="N34" s="68"/>
      <c r="O34" s="68"/>
      <c r="P34" s="31"/>
    </row>
    <row r="35" spans="1:16" ht="15">
      <c r="A35" s="35" t="s">
        <v>34</v>
      </c>
      <c r="B35" s="59" t="s">
        <v>37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67937.79</v>
      </c>
      <c r="M35" s="68"/>
      <c r="N35" s="68"/>
      <c r="O35" s="68"/>
      <c r="P35" s="31"/>
    </row>
    <row r="36" spans="1:16" ht="15">
      <c r="A36" s="35" t="s">
        <v>34</v>
      </c>
      <c r="B36" s="59" t="s">
        <v>101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2747</v>
      </c>
      <c r="M36" s="68"/>
      <c r="N36" s="68"/>
      <c r="O36" s="68"/>
      <c r="P36" s="31"/>
    </row>
    <row r="37" spans="1:16" ht="15">
      <c r="A37" s="35" t="s">
        <v>34</v>
      </c>
      <c r="B37" s="59" t="s">
        <v>80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2000</v>
      </c>
      <c r="M37" s="68"/>
      <c r="N37" s="68"/>
      <c r="O37" s="68"/>
      <c r="P37" s="31"/>
    </row>
    <row r="38" spans="1:16" ht="15">
      <c r="A38" s="35" t="s">
        <v>34</v>
      </c>
      <c r="B38" s="59" t="s">
        <v>102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10457.29</v>
      </c>
      <c r="M38" s="68"/>
      <c r="N38" s="68"/>
      <c r="O38" s="68"/>
      <c r="P38" s="31"/>
    </row>
    <row r="39" spans="1:16" ht="15" customHeight="1">
      <c r="A39" s="35" t="s">
        <v>34</v>
      </c>
      <c r="B39" s="64" t="s">
        <v>92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24400</v>
      </c>
      <c r="M39" s="68"/>
      <c r="N39" s="68"/>
      <c r="O39" s="68"/>
      <c r="P39" s="31"/>
    </row>
    <row r="40" spans="1:16" ht="30">
      <c r="A40" s="35" t="s">
        <v>34</v>
      </c>
      <c r="B40" s="59" t="s">
        <v>103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153084.17</v>
      </c>
      <c r="M40" s="68"/>
      <c r="N40" s="68"/>
      <c r="O40" s="68"/>
      <c r="P40" s="31"/>
    </row>
    <row r="41" spans="1:16" ht="15">
      <c r="A41" s="35" t="s">
        <v>34</v>
      </c>
      <c r="B41" s="59" t="s">
        <v>104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25348.7</v>
      </c>
      <c r="M41" s="68"/>
      <c r="N41" s="68"/>
      <c r="O41" s="68"/>
      <c r="P41" s="31"/>
    </row>
    <row r="42" spans="1:16" ht="15">
      <c r="A42" s="35" t="s">
        <v>34</v>
      </c>
      <c r="B42" s="59" t="s">
        <v>95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138901.89</v>
      </c>
      <c r="M42" s="68"/>
      <c r="N42" s="68"/>
      <c r="O42" s="68"/>
      <c r="P42" s="31"/>
    </row>
    <row r="43" spans="1:16" ht="15">
      <c r="A43" s="35" t="s">
        <v>34</v>
      </c>
      <c r="B43" s="59" t="s">
        <v>93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88787.67</v>
      </c>
      <c r="M43" s="68"/>
      <c r="N43" s="68"/>
      <c r="O43" s="68"/>
      <c r="P43" s="31"/>
    </row>
    <row r="44" spans="1:16" ht="15">
      <c r="A44" s="35" t="s">
        <v>34</v>
      </c>
      <c r="B44" s="59" t="s">
        <v>38</v>
      </c>
      <c r="C44" s="60"/>
      <c r="D44" s="61"/>
      <c r="E44" s="58"/>
      <c r="F44" s="58"/>
      <c r="G44" s="58"/>
      <c r="H44" s="58"/>
      <c r="I44" s="58"/>
      <c r="J44" s="58"/>
      <c r="K44" s="58"/>
      <c r="L44" s="68">
        <v>3633.17</v>
      </c>
      <c r="M44" s="68"/>
      <c r="N44" s="68"/>
      <c r="O44" s="68"/>
      <c r="P44" s="31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69"/>
      <c r="M45" s="69"/>
      <c r="N45" s="69"/>
      <c r="O45" s="69"/>
      <c r="P45" s="44"/>
    </row>
    <row r="46" spans="1:16" ht="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44"/>
    </row>
    <row r="47" spans="1:15" ht="15">
      <c r="A47" s="39" t="s">
        <v>39</v>
      </c>
      <c r="B47" s="40" t="s">
        <v>135</v>
      </c>
      <c r="C47" s="40"/>
      <c r="D47" s="40"/>
      <c r="E47" s="40"/>
      <c r="F47" s="40"/>
      <c r="G47" s="40"/>
      <c r="H47" s="40"/>
      <c r="I47" s="40"/>
      <c r="J47" s="40"/>
      <c r="K47" s="40"/>
      <c r="L47" s="70">
        <f>P25</f>
        <v>-235865.87995000015</v>
      </c>
      <c r="M47" s="71"/>
      <c r="N47" s="71"/>
      <c r="O47" s="72"/>
    </row>
    <row r="48" spans="1:16" ht="15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5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2"/>
    </row>
    <row r="50" spans="2:16" ht="15">
      <c r="B50" s="43" t="s">
        <v>45</v>
      </c>
      <c r="C50" s="43"/>
      <c r="D50" s="43"/>
      <c r="E50" s="43"/>
      <c r="F50" s="43"/>
      <c r="G50" s="43"/>
      <c r="H50" s="43"/>
      <c r="I50" s="43"/>
      <c r="J50" s="43"/>
      <c r="K50" s="43"/>
      <c r="L50" s="43" t="s">
        <v>41</v>
      </c>
      <c r="M50" s="43"/>
      <c r="N50" s="43"/>
      <c r="O50" s="6"/>
      <c r="P50" s="3"/>
    </row>
  </sheetData>
  <sheetProtection/>
  <mergeCells count="34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34:O34"/>
    <mergeCell ref="L35:O35"/>
    <mergeCell ref="L36:O36"/>
    <mergeCell ref="L37:O37"/>
    <mergeCell ref="L38:O38"/>
    <mergeCell ref="P12:P13"/>
    <mergeCell ref="L44:O44"/>
    <mergeCell ref="L45:O45"/>
    <mergeCell ref="L47:O47"/>
    <mergeCell ref="L29:O29"/>
    <mergeCell ref="L39:O39"/>
    <mergeCell ref="L40:O40"/>
    <mergeCell ref="L41:O41"/>
    <mergeCell ref="L42:O42"/>
    <mergeCell ref="L43:O43"/>
    <mergeCell ref="L33:O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zoomScalePageLayoutView="0" workbookViewId="0" topLeftCell="A10">
      <selection activeCell="M42" sqref="M42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28125" style="2" hidden="1" customWidth="1" outlineLevel="1"/>
    <col min="4" max="4" width="15.421875" style="2" customWidth="1" collapsed="1"/>
    <col min="5" max="5" width="11.57421875" style="2" customWidth="1" outlineLevel="1"/>
    <col min="6" max="6" width="13.7109375" style="3" customWidth="1" outlineLevel="1"/>
    <col min="7" max="7" width="12.8515625" style="2" customWidth="1"/>
    <col min="8" max="8" width="14.57421875" style="2" customWidth="1" outlineLevel="1"/>
    <col min="9" max="9" width="14.7109375" style="2" customWidth="1" outlineLevel="1"/>
    <col min="10" max="10" width="13.140625" style="2" customWidth="1"/>
    <col min="11" max="11" width="14.00390625" style="2" customWidth="1" outlineLevel="1"/>
    <col min="12" max="12" width="15.57421875" style="2" customWidth="1" outlineLevel="1"/>
    <col min="13" max="13" width="13.28125" style="2" customWidth="1"/>
    <col min="14" max="15" width="13.28125" style="2" customWidth="1" outlineLevel="1"/>
    <col min="16" max="16" width="15.8515625" style="2" customWidth="1"/>
    <col min="17" max="17" width="14.140625" style="2" customWidth="1"/>
    <col min="18" max="18" width="11.421875" style="2" customWidth="1" outlineLevel="1"/>
    <col min="19" max="19" width="15.00390625" style="2" customWidth="1" outlineLevel="1"/>
    <col min="20" max="20" width="13.140625" style="2" customWidth="1" outlineLevel="1"/>
    <col min="21" max="21" width="11.7109375" style="2" customWidth="1" outlineLevel="1"/>
    <col min="22" max="22" width="13.140625" style="2" customWidth="1" outlineLevel="1"/>
    <col min="23" max="23" width="13.140625" style="2" customWidth="1" outlineLevel="1" collapsed="1"/>
    <col min="24" max="24" width="15.28125" style="2" customWidth="1" outlineLevel="1"/>
    <col min="25" max="25" width="16.140625" style="2" customWidth="1" outlineLevel="1"/>
    <col min="26" max="26" width="10.8515625" style="2" customWidth="1" outlineLevel="1"/>
    <col min="27" max="27" width="10.7109375" style="2" bestFit="1" customWidth="1"/>
    <col min="28" max="16384" width="9.140625" style="2" customWidth="1"/>
  </cols>
  <sheetData>
    <row r="1" spans="1:17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57"/>
    </row>
    <row r="2" spans="1:17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"/>
    </row>
    <row r="3" spans="1:17" ht="18.75">
      <c r="A3" s="1"/>
      <c r="B3" s="4" t="s">
        <v>59</v>
      </c>
      <c r="C3" s="5"/>
      <c r="D3" s="1"/>
      <c r="E3" s="5"/>
      <c r="F3" s="57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6" t="s">
        <v>44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.75">
      <c r="A5" s="1"/>
      <c r="B5" s="7" t="s">
        <v>147</v>
      </c>
      <c r="C5" s="1"/>
      <c r="D5" s="1"/>
      <c r="E5" s="1"/>
      <c r="F5" s="57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2" t="s">
        <v>2</v>
      </c>
      <c r="C6" s="1"/>
      <c r="D6" s="8">
        <v>6628.34</v>
      </c>
      <c r="E6" s="1"/>
      <c r="F6" s="5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2" t="s">
        <v>3</v>
      </c>
      <c r="C7" s="1"/>
      <c r="D7" s="8">
        <v>57.1</v>
      </c>
      <c r="E7" s="1"/>
      <c r="F7" s="5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9" t="s">
        <v>4</v>
      </c>
      <c r="C8" s="1"/>
      <c r="D8" s="10">
        <v>1.0062352416772147</v>
      </c>
      <c r="E8" s="1"/>
      <c r="F8" s="5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5:10" ht="15">
      <c r="E9" s="8"/>
      <c r="F9" s="11"/>
      <c r="G9" s="8"/>
      <c r="H9" s="8"/>
      <c r="I9" s="8"/>
      <c r="J9" s="8"/>
    </row>
    <row r="10" spans="2:16" ht="15">
      <c r="B10" s="9"/>
      <c r="C10" s="12"/>
      <c r="F10" s="13"/>
      <c r="H10" s="8"/>
      <c r="I10" s="8"/>
      <c r="J10" s="8"/>
      <c r="P10" s="1"/>
    </row>
    <row r="11" spans="1:17" ht="15">
      <c r="A11" s="5" t="s">
        <v>5</v>
      </c>
      <c r="B11" s="1" t="s">
        <v>6</v>
      </c>
      <c r="C11" s="1"/>
      <c r="D11" s="1"/>
      <c r="E11" s="1"/>
      <c r="F11" s="1"/>
      <c r="G11" s="1"/>
      <c r="H11" s="66">
        <v>0.75</v>
      </c>
      <c r="I11" s="67"/>
      <c r="J11" s="67"/>
      <c r="K11" s="66">
        <v>0.75</v>
      </c>
      <c r="L11" s="15"/>
      <c r="P11" s="1"/>
      <c r="Q11" s="5" t="s">
        <v>150</v>
      </c>
    </row>
    <row r="12" spans="1:17" ht="15">
      <c r="A12" s="88" t="s">
        <v>7</v>
      </c>
      <c r="B12" s="88" t="s">
        <v>8</v>
      </c>
      <c r="C12" s="90"/>
      <c r="D12" s="79" t="s">
        <v>9</v>
      </c>
      <c r="E12" s="80" t="s">
        <v>10</v>
      </c>
      <c r="F12" s="80"/>
      <c r="G12" s="79" t="s">
        <v>11</v>
      </c>
      <c r="H12" s="80" t="s">
        <v>10</v>
      </c>
      <c r="I12" s="80"/>
      <c r="J12" s="79" t="s">
        <v>12</v>
      </c>
      <c r="K12" s="80" t="s">
        <v>10</v>
      </c>
      <c r="L12" s="80"/>
      <c r="M12" s="79" t="s">
        <v>13</v>
      </c>
      <c r="N12" s="80" t="s">
        <v>10</v>
      </c>
      <c r="O12" s="80"/>
      <c r="P12" s="81" t="s">
        <v>148</v>
      </c>
      <c r="Q12" s="82" t="s">
        <v>149</v>
      </c>
    </row>
    <row r="13" spans="1:17" ht="140.25" customHeight="1">
      <c r="A13" s="88"/>
      <c r="B13" s="88"/>
      <c r="C13" s="90"/>
      <c r="D13" s="79"/>
      <c r="E13" s="16" t="s">
        <v>14</v>
      </c>
      <c r="F13" s="16" t="s">
        <v>15</v>
      </c>
      <c r="G13" s="79"/>
      <c r="H13" s="16" t="s">
        <v>14</v>
      </c>
      <c r="I13" s="16" t="s">
        <v>15</v>
      </c>
      <c r="J13" s="79"/>
      <c r="K13" s="16" t="s">
        <v>14</v>
      </c>
      <c r="L13" s="16" t="s">
        <v>15</v>
      </c>
      <c r="M13" s="79"/>
      <c r="N13" s="16" t="s">
        <v>14</v>
      </c>
      <c r="O13" s="16" t="s">
        <v>15</v>
      </c>
      <c r="P13" s="81"/>
      <c r="Q13" s="82"/>
    </row>
    <row r="14" spans="1:17" ht="30">
      <c r="A14" s="17">
        <v>1</v>
      </c>
      <c r="B14" s="18" t="s">
        <v>16</v>
      </c>
      <c r="C14" s="18"/>
      <c r="D14" s="19">
        <v>260688.51999999996</v>
      </c>
      <c r="E14" s="20">
        <v>2058</v>
      </c>
      <c r="F14" s="21">
        <v>258630.51999999996</v>
      </c>
      <c r="G14" s="19">
        <f>H14+I14</f>
        <v>1006342.14</v>
      </c>
      <c r="H14" s="20">
        <v>8907.6</v>
      </c>
      <c r="I14" s="21">
        <v>997434.54</v>
      </c>
      <c r="J14" s="19">
        <f>K14+L14</f>
        <v>946072.7</v>
      </c>
      <c r="K14" s="20">
        <v>8907.6</v>
      </c>
      <c r="L14" s="21">
        <v>937165.1</v>
      </c>
      <c r="M14" s="19">
        <f>N14+O14</f>
        <v>196275.99000000008</v>
      </c>
      <c r="N14" s="20">
        <f>E14+H14-K14</f>
        <v>2058</v>
      </c>
      <c r="O14" s="21">
        <v>194217.99000000008</v>
      </c>
      <c r="P14" s="22">
        <v>794384.5853999999</v>
      </c>
      <c r="Q14" s="62">
        <f>G14-P14</f>
        <v>211957.55460000015</v>
      </c>
    </row>
    <row r="15" spans="1:17" ht="45">
      <c r="A15" s="17">
        <v>2</v>
      </c>
      <c r="B15" s="18" t="s">
        <v>17</v>
      </c>
      <c r="C15" s="18"/>
      <c r="D15" s="19">
        <v>9115.5</v>
      </c>
      <c r="E15" s="20"/>
      <c r="F15" s="21">
        <v>9115.5</v>
      </c>
      <c r="G15" s="19">
        <f aca="true" t="shared" si="0" ref="G15:G24">H15+I15</f>
        <v>10758.52</v>
      </c>
      <c r="H15" s="20"/>
      <c r="I15" s="21">
        <v>10758.52</v>
      </c>
      <c r="J15" s="19">
        <f aca="true" t="shared" si="1" ref="J15:J24">K15+L15</f>
        <v>16296.54</v>
      </c>
      <c r="K15" s="20"/>
      <c r="L15" s="21">
        <v>16296.54</v>
      </c>
      <c r="M15" s="19">
        <v>3577.4799999999996</v>
      </c>
      <c r="N15" s="20">
        <v>0</v>
      </c>
      <c r="O15" s="21">
        <v>3577.4799999999996</v>
      </c>
      <c r="P15" s="22">
        <f>8142.39+2616.13</f>
        <v>10758.52</v>
      </c>
      <c r="Q15" s="62">
        <f>G15-P15</f>
        <v>0</v>
      </c>
    </row>
    <row r="16" spans="1:17" ht="15">
      <c r="A16" s="17">
        <v>3</v>
      </c>
      <c r="B16" s="18" t="s">
        <v>18</v>
      </c>
      <c r="C16" s="18"/>
      <c r="D16" s="19">
        <v>75445.82</v>
      </c>
      <c r="E16" s="20"/>
      <c r="F16" s="21">
        <v>75445.82</v>
      </c>
      <c r="G16" s="19">
        <f t="shared" si="0"/>
        <v>296685.68</v>
      </c>
      <c r="H16" s="20"/>
      <c r="I16" s="21">
        <v>296685.68</v>
      </c>
      <c r="J16" s="19">
        <f t="shared" si="1"/>
        <v>306977.05</v>
      </c>
      <c r="K16" s="20"/>
      <c r="L16" s="21">
        <v>306977.05</v>
      </c>
      <c r="M16" s="19">
        <v>65154.45000000001</v>
      </c>
      <c r="N16" s="20">
        <v>0</v>
      </c>
      <c r="O16" s="21">
        <v>65154.45000000001</v>
      </c>
      <c r="P16" s="22">
        <v>272807.30065</v>
      </c>
      <c r="Q16" s="65">
        <v>2878.37935</v>
      </c>
    </row>
    <row r="17" spans="1:17" ht="15">
      <c r="A17" s="17"/>
      <c r="B17" s="23" t="s">
        <v>19</v>
      </c>
      <c r="C17" s="18"/>
      <c r="D17" s="19">
        <v>0</v>
      </c>
      <c r="E17" s="20"/>
      <c r="F17" s="21"/>
      <c r="G17" s="19">
        <f t="shared" si="0"/>
        <v>0</v>
      </c>
      <c r="H17" s="20"/>
      <c r="I17" s="21"/>
      <c r="J17" s="19">
        <f t="shared" si="1"/>
        <v>0</v>
      </c>
      <c r="K17" s="20"/>
      <c r="L17" s="21"/>
      <c r="M17" s="19">
        <v>0</v>
      </c>
      <c r="N17" s="20">
        <v>0</v>
      </c>
      <c r="O17" s="21">
        <v>0</v>
      </c>
      <c r="P17" s="22">
        <v>0</v>
      </c>
      <c r="Q17" s="62">
        <v>0</v>
      </c>
    </row>
    <row r="18" spans="1:17" ht="15">
      <c r="A18" s="17">
        <v>4</v>
      </c>
      <c r="B18" s="18" t="s">
        <v>20</v>
      </c>
      <c r="C18" s="18"/>
      <c r="D18" s="19">
        <v>8594.51</v>
      </c>
      <c r="E18" s="20">
        <v>2732</v>
      </c>
      <c r="F18" s="21">
        <v>5862.51</v>
      </c>
      <c r="G18" s="19">
        <f t="shared" si="0"/>
        <v>10724.55</v>
      </c>
      <c r="H18" s="24">
        <v>10724.55</v>
      </c>
      <c r="I18" s="21"/>
      <c r="J18" s="19">
        <f t="shared" si="1"/>
        <v>13456.76</v>
      </c>
      <c r="K18" s="20">
        <v>13456.76</v>
      </c>
      <c r="L18" s="21"/>
      <c r="M18" s="19">
        <v>4462.539999999999</v>
      </c>
      <c r="N18" s="20">
        <v>-1399.9700000000012</v>
      </c>
      <c r="O18" s="21">
        <v>5862.51</v>
      </c>
      <c r="P18" s="22">
        <v>10724.55</v>
      </c>
      <c r="Q18" s="62">
        <f>G18-P18</f>
        <v>0</v>
      </c>
    </row>
    <row r="19" spans="1:17" ht="15">
      <c r="A19" s="17"/>
      <c r="B19" s="23" t="s">
        <v>19</v>
      </c>
      <c r="C19" s="18"/>
      <c r="D19" s="19"/>
      <c r="E19" s="20"/>
      <c r="F19" s="21"/>
      <c r="G19" s="19">
        <f t="shared" si="0"/>
        <v>0</v>
      </c>
      <c r="H19" s="24"/>
      <c r="I19" s="21"/>
      <c r="J19" s="19">
        <f t="shared" si="1"/>
        <v>0</v>
      </c>
      <c r="K19" s="20"/>
      <c r="L19" s="21"/>
      <c r="M19" s="19"/>
      <c r="N19" s="20">
        <v>0</v>
      </c>
      <c r="O19" s="21">
        <v>0</v>
      </c>
      <c r="P19" s="22">
        <v>0</v>
      </c>
      <c r="Q19" s="62">
        <v>0</v>
      </c>
    </row>
    <row r="20" spans="1:17" ht="15">
      <c r="A20" s="17">
        <v>5</v>
      </c>
      <c r="B20" s="25" t="s">
        <v>21</v>
      </c>
      <c r="C20" s="18"/>
      <c r="D20" s="19">
        <v>56273.74</v>
      </c>
      <c r="E20" s="20"/>
      <c r="F20" s="21">
        <v>56273.74</v>
      </c>
      <c r="G20" s="19">
        <f t="shared" si="0"/>
        <v>0</v>
      </c>
      <c r="H20" s="20"/>
      <c r="I20" s="21"/>
      <c r="J20" s="19">
        <f t="shared" si="1"/>
        <v>44881.22</v>
      </c>
      <c r="K20" s="20"/>
      <c r="L20" s="21">
        <v>44881.22</v>
      </c>
      <c r="M20" s="19">
        <v>11392.519999999997</v>
      </c>
      <c r="N20" s="20">
        <v>0</v>
      </c>
      <c r="O20" s="21">
        <v>11392.519999999997</v>
      </c>
      <c r="P20" s="22">
        <v>0</v>
      </c>
      <c r="Q20" s="62">
        <v>0</v>
      </c>
    </row>
    <row r="21" spans="1:17" ht="15">
      <c r="A21" s="17">
        <v>6</v>
      </c>
      <c r="B21" s="18" t="s">
        <v>22</v>
      </c>
      <c r="C21" s="18"/>
      <c r="D21" s="19">
        <v>0</v>
      </c>
      <c r="E21" s="20"/>
      <c r="F21" s="21"/>
      <c r="G21" s="19">
        <f t="shared" si="0"/>
        <v>0</v>
      </c>
      <c r="H21" s="20"/>
      <c r="I21" s="21"/>
      <c r="J21" s="19">
        <f t="shared" si="1"/>
        <v>0</v>
      </c>
      <c r="K21" s="20"/>
      <c r="L21" s="21"/>
      <c r="M21" s="19">
        <v>0</v>
      </c>
      <c r="N21" s="20">
        <v>0</v>
      </c>
      <c r="O21" s="21">
        <v>0</v>
      </c>
      <c r="P21" s="22">
        <v>0</v>
      </c>
      <c r="Q21" s="62">
        <v>0</v>
      </c>
    </row>
    <row r="22" spans="1:17" ht="15">
      <c r="A22" s="17">
        <v>7</v>
      </c>
      <c r="B22" s="18" t="s">
        <v>23</v>
      </c>
      <c r="C22" s="18"/>
      <c r="D22" s="19">
        <v>34059.62</v>
      </c>
      <c r="E22" s="20"/>
      <c r="F22" s="21">
        <v>34059.62</v>
      </c>
      <c r="G22" s="19">
        <f t="shared" si="0"/>
        <v>135217.92</v>
      </c>
      <c r="H22" s="20"/>
      <c r="I22" s="21">
        <v>135217.92</v>
      </c>
      <c r="J22" s="19">
        <f t="shared" si="1"/>
        <v>139843.38</v>
      </c>
      <c r="K22" s="20"/>
      <c r="L22" s="21">
        <v>139843.38</v>
      </c>
      <c r="M22" s="19">
        <v>29434.160000000003</v>
      </c>
      <c r="N22" s="20">
        <v>0</v>
      </c>
      <c r="O22" s="21">
        <v>29434.160000000003</v>
      </c>
      <c r="P22" s="22">
        <v>135217.92</v>
      </c>
      <c r="Q22" s="62">
        <v>0</v>
      </c>
    </row>
    <row r="23" spans="1:17" ht="15">
      <c r="A23" s="17">
        <v>8</v>
      </c>
      <c r="B23" s="18" t="s">
        <v>24</v>
      </c>
      <c r="C23" s="18"/>
      <c r="D23" s="19">
        <v>0</v>
      </c>
      <c r="E23" s="20"/>
      <c r="F23" s="21"/>
      <c r="G23" s="19">
        <f t="shared" si="0"/>
        <v>0</v>
      </c>
      <c r="H23" s="20"/>
      <c r="I23" s="21"/>
      <c r="J23" s="19">
        <f t="shared" si="1"/>
        <v>0</v>
      </c>
      <c r="K23" s="20"/>
      <c r="L23" s="21"/>
      <c r="M23" s="19">
        <v>0</v>
      </c>
      <c r="N23" s="20">
        <v>0</v>
      </c>
      <c r="O23" s="21">
        <v>0</v>
      </c>
      <c r="P23" s="22">
        <v>0</v>
      </c>
      <c r="Q23" s="62">
        <v>0</v>
      </c>
    </row>
    <row r="24" spans="1:17" ht="30">
      <c r="A24" s="17">
        <v>9</v>
      </c>
      <c r="B24" s="18" t="s">
        <v>42</v>
      </c>
      <c r="C24" s="18"/>
      <c r="D24" s="19">
        <v>0</v>
      </c>
      <c r="E24" s="20"/>
      <c r="F24" s="21"/>
      <c r="G24" s="19">
        <f t="shared" si="0"/>
        <v>13500</v>
      </c>
      <c r="H24" s="20">
        <f>18000*H11</f>
        <v>13500</v>
      </c>
      <c r="I24" s="21"/>
      <c r="J24" s="19">
        <f t="shared" si="1"/>
        <v>13500</v>
      </c>
      <c r="K24" s="20">
        <f>18000*K11</f>
        <v>13500</v>
      </c>
      <c r="L24" s="21"/>
      <c r="M24" s="19">
        <f>N24+O24</f>
        <v>0</v>
      </c>
      <c r="N24" s="20">
        <f>E24+H24-K24</f>
        <v>0</v>
      </c>
      <c r="O24" s="21">
        <v>0</v>
      </c>
      <c r="P24" s="22">
        <v>0</v>
      </c>
      <c r="Q24" s="62">
        <f>G24-P24</f>
        <v>13500</v>
      </c>
    </row>
    <row r="25" spans="1:17" ht="15">
      <c r="A25" s="26"/>
      <c r="B25" s="27"/>
      <c r="C25" s="27"/>
      <c r="D25" s="27">
        <v>444177.70999999996</v>
      </c>
      <c r="E25" s="27">
        <v>4790</v>
      </c>
      <c r="F25" s="28">
        <v>439387.70999999996</v>
      </c>
      <c r="G25" s="27">
        <f>SUM(G14:G24)</f>
        <v>1473228.81</v>
      </c>
      <c r="H25" s="27">
        <f>SUM(H14:H24)</f>
        <v>33132.15</v>
      </c>
      <c r="I25" s="28">
        <v>1440096.66</v>
      </c>
      <c r="J25" s="27">
        <f>SUM(J14:J24)</f>
        <v>1481027.65</v>
      </c>
      <c r="K25" s="27">
        <f>SUM(K14:K24)</f>
        <v>35864.36</v>
      </c>
      <c r="L25" s="28">
        <v>1445163.29</v>
      </c>
      <c r="M25" s="27">
        <v>310251.01500000013</v>
      </c>
      <c r="N25" s="27">
        <v>611.9049999999988</v>
      </c>
      <c r="O25" s="28">
        <v>309639.1100000001</v>
      </c>
      <c r="P25" s="27">
        <v>1221316.50605</v>
      </c>
      <c r="Q25" s="27">
        <f>SUM(Q14:Q24)</f>
        <v>228335.93395000015</v>
      </c>
    </row>
    <row r="26" spans="1:17" ht="1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3" ht="15">
      <c r="A28" s="5" t="s">
        <v>25</v>
      </c>
      <c r="B28" s="1" t="s">
        <v>26</v>
      </c>
      <c r="C28" s="1"/>
    </row>
    <row r="29" spans="1:17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 t="s">
        <v>151</v>
      </c>
      <c r="N29" s="85"/>
      <c r="O29" s="85"/>
      <c r="P29" s="86"/>
      <c r="Q29" s="31"/>
    </row>
    <row r="30" spans="1:17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4"/>
      <c r="O30" s="74"/>
      <c r="P30" s="74"/>
      <c r="Q30" s="31"/>
    </row>
    <row r="31" spans="1:17" ht="15">
      <c r="A31" s="32"/>
      <c r="B31" s="59"/>
      <c r="C31" s="60"/>
      <c r="D31" s="61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54"/>
      <c r="P31" s="54"/>
      <c r="Q31" s="33"/>
    </row>
    <row r="32" spans="1:17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32126.559999999998</v>
      </c>
      <c r="N32" s="77"/>
      <c r="O32" s="77"/>
      <c r="P32" s="78"/>
      <c r="Q32" s="31"/>
    </row>
    <row r="33" spans="1:17" ht="15">
      <c r="A33" s="35" t="s">
        <v>34</v>
      </c>
      <c r="B33" s="59" t="s">
        <v>37</v>
      </c>
      <c r="C33" s="60"/>
      <c r="D33" s="60"/>
      <c r="E33" s="61"/>
      <c r="F33" s="58"/>
      <c r="G33" s="58"/>
      <c r="H33" s="58"/>
      <c r="I33" s="58"/>
      <c r="J33" s="58"/>
      <c r="K33" s="58"/>
      <c r="L33" s="58"/>
      <c r="M33" s="68">
        <v>23872.96</v>
      </c>
      <c r="N33" s="68"/>
      <c r="O33" s="68"/>
      <c r="P33" s="68"/>
      <c r="Q33" s="31"/>
    </row>
    <row r="34" spans="1:17" ht="15">
      <c r="A34" s="35" t="s">
        <v>34</v>
      </c>
      <c r="B34" s="59" t="s">
        <v>79</v>
      </c>
      <c r="C34" s="60"/>
      <c r="D34" s="60"/>
      <c r="E34" s="61"/>
      <c r="F34" s="58"/>
      <c r="G34" s="58"/>
      <c r="H34" s="58"/>
      <c r="I34" s="58"/>
      <c r="J34" s="58"/>
      <c r="K34" s="58"/>
      <c r="L34" s="58"/>
      <c r="M34" s="68">
        <v>1364.73</v>
      </c>
      <c r="N34" s="68"/>
      <c r="O34" s="68"/>
      <c r="P34" s="68"/>
      <c r="Q34" s="31"/>
    </row>
    <row r="35" spans="1:17" ht="15">
      <c r="A35" s="35" t="s">
        <v>34</v>
      </c>
      <c r="B35" s="59" t="s">
        <v>79</v>
      </c>
      <c r="C35" s="60"/>
      <c r="D35" s="60"/>
      <c r="E35" s="61"/>
      <c r="F35" s="58"/>
      <c r="G35" s="58"/>
      <c r="H35" s="58"/>
      <c r="I35" s="58"/>
      <c r="J35" s="58"/>
      <c r="K35" s="58"/>
      <c r="L35" s="58"/>
      <c r="M35" s="68">
        <v>1398.73</v>
      </c>
      <c r="N35" s="68"/>
      <c r="O35" s="68"/>
      <c r="P35" s="68"/>
      <c r="Q35" s="31"/>
    </row>
    <row r="36" spans="1:17" ht="15">
      <c r="A36" s="35" t="s">
        <v>34</v>
      </c>
      <c r="B36" s="59" t="s">
        <v>80</v>
      </c>
      <c r="C36" s="60"/>
      <c r="D36" s="60"/>
      <c r="E36" s="61"/>
      <c r="F36" s="58"/>
      <c r="G36" s="58"/>
      <c r="H36" s="58"/>
      <c r="I36" s="58"/>
      <c r="J36" s="58"/>
      <c r="K36" s="58"/>
      <c r="L36" s="58"/>
      <c r="M36" s="68">
        <v>2000</v>
      </c>
      <c r="N36" s="68"/>
      <c r="O36" s="68"/>
      <c r="P36" s="68"/>
      <c r="Q36" s="44"/>
    </row>
    <row r="37" spans="1:17" ht="15">
      <c r="A37" s="35" t="s">
        <v>34</v>
      </c>
      <c r="B37" s="59" t="s">
        <v>79</v>
      </c>
      <c r="C37" s="60"/>
      <c r="D37" s="60"/>
      <c r="E37" s="61"/>
      <c r="F37" s="58"/>
      <c r="G37" s="58"/>
      <c r="H37" s="58"/>
      <c r="I37" s="58"/>
      <c r="J37" s="58"/>
      <c r="K37" s="58"/>
      <c r="L37" s="58"/>
      <c r="M37" s="68">
        <v>960</v>
      </c>
      <c r="N37" s="68"/>
      <c r="O37" s="68"/>
      <c r="P37" s="68"/>
      <c r="Q37" s="44"/>
    </row>
    <row r="38" spans="1:17" ht="15">
      <c r="A38" s="35" t="s">
        <v>34</v>
      </c>
      <c r="B38" s="59" t="s">
        <v>38</v>
      </c>
      <c r="C38" s="60"/>
      <c r="D38" s="60"/>
      <c r="E38" s="61"/>
      <c r="F38" s="58"/>
      <c r="G38" s="58"/>
      <c r="H38" s="58"/>
      <c r="I38" s="58"/>
      <c r="J38" s="58"/>
      <c r="K38" s="58"/>
      <c r="L38" s="58"/>
      <c r="M38" s="68">
        <v>2530.14</v>
      </c>
      <c r="N38" s="68"/>
      <c r="O38" s="68"/>
      <c r="P38" s="68"/>
      <c r="Q38" s="44"/>
    </row>
    <row r="39" spans="1:17" ht="15">
      <c r="A39" s="36"/>
      <c r="B39" s="47"/>
      <c r="C39" s="48"/>
      <c r="D39" s="48"/>
      <c r="E39" s="48"/>
      <c r="F39" s="47"/>
      <c r="G39" s="47"/>
      <c r="H39" s="47"/>
      <c r="I39" s="47"/>
      <c r="J39" s="47"/>
      <c r="K39" s="47"/>
      <c r="L39" s="47"/>
      <c r="M39" s="38"/>
      <c r="N39" s="38"/>
      <c r="O39" s="38"/>
      <c r="P39" s="38"/>
      <c r="Q39" s="44"/>
    </row>
    <row r="40" spans="1:17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44"/>
    </row>
    <row r="41" spans="1:16" ht="15">
      <c r="A41" s="39" t="s">
        <v>39</v>
      </c>
      <c r="B41" s="40" t="s">
        <v>135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70">
        <f>Q25</f>
        <v>228335.93395000015</v>
      </c>
      <c r="N41" s="71"/>
      <c r="O41" s="71"/>
      <c r="P41" s="72"/>
    </row>
    <row r="42" spans="1:17" ht="15">
      <c r="A42" s="29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6" ht="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N43" s="41"/>
      <c r="O43" s="41"/>
      <c r="P43" s="42"/>
    </row>
    <row r="44" spans="2:17" ht="15">
      <c r="B44" s="43" t="s">
        <v>45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 t="s">
        <v>41</v>
      </c>
      <c r="N44" s="43"/>
      <c r="O44" s="43"/>
      <c r="P44" s="6"/>
      <c r="Q44" s="3"/>
    </row>
  </sheetData>
  <sheetProtection/>
  <mergeCells count="28">
    <mergeCell ref="A1:P1"/>
    <mergeCell ref="A2:P2"/>
    <mergeCell ref="A12:A13"/>
    <mergeCell ref="B12:B13"/>
    <mergeCell ref="C12:C13"/>
    <mergeCell ref="D12:D13"/>
    <mergeCell ref="E12:F12"/>
    <mergeCell ref="G12:G13"/>
    <mergeCell ref="H12:I12"/>
    <mergeCell ref="J12:J13"/>
    <mergeCell ref="K12:L12"/>
    <mergeCell ref="M12:M13"/>
    <mergeCell ref="N12:O12"/>
    <mergeCell ref="P12:P13"/>
    <mergeCell ref="Q12:Q13"/>
    <mergeCell ref="B29:L29"/>
    <mergeCell ref="B30:L30"/>
    <mergeCell ref="M30:P30"/>
    <mergeCell ref="B32:L32"/>
    <mergeCell ref="M32:P32"/>
    <mergeCell ref="M33:P33"/>
    <mergeCell ref="M29:P29"/>
    <mergeCell ref="M34:P34"/>
    <mergeCell ref="M35:P35"/>
    <mergeCell ref="M36:P36"/>
    <mergeCell ref="M37:P37"/>
    <mergeCell ref="M38:P38"/>
    <mergeCell ref="M41:P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7">
      <selection activeCell="M45" sqref="M45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28125" style="2" hidden="1" customWidth="1" outlineLevel="1"/>
    <col min="4" max="4" width="15.421875" style="2" customWidth="1" collapsed="1"/>
    <col min="5" max="5" width="11.57421875" style="2" customWidth="1" outlineLevel="1"/>
    <col min="6" max="6" width="13.7109375" style="3" customWidth="1" outlineLevel="1"/>
    <col min="7" max="7" width="12.8515625" style="2" customWidth="1"/>
    <col min="8" max="8" width="14.57421875" style="2" customWidth="1" outlineLevel="1"/>
    <col min="9" max="9" width="14.7109375" style="2" customWidth="1" outlineLevel="1"/>
    <col min="10" max="10" width="13.140625" style="2" customWidth="1"/>
    <col min="11" max="11" width="14.00390625" style="2" customWidth="1" outlineLevel="1"/>
    <col min="12" max="12" width="15.57421875" style="2" customWidth="1" outlineLevel="1"/>
    <col min="13" max="13" width="13.28125" style="2" customWidth="1"/>
    <col min="14" max="15" width="13.28125" style="2" customWidth="1" outlineLevel="1"/>
    <col min="16" max="16" width="15.8515625" style="2" customWidth="1"/>
    <col min="17" max="17" width="14.140625" style="2" customWidth="1"/>
    <col min="18" max="18" width="11.421875" style="2" customWidth="1" outlineLevel="1"/>
    <col min="19" max="19" width="15.00390625" style="2" customWidth="1" outlineLevel="1"/>
    <col min="20" max="20" width="13.140625" style="2" customWidth="1" outlineLevel="1"/>
    <col min="21" max="21" width="11.7109375" style="2" customWidth="1" outlineLevel="1"/>
    <col min="22" max="22" width="13.140625" style="2" customWidth="1" outlineLevel="1"/>
    <col min="23" max="23" width="13.140625" style="2" customWidth="1" outlineLevel="1" collapsed="1"/>
    <col min="24" max="24" width="15.28125" style="2" customWidth="1" outlineLevel="1"/>
    <col min="25" max="25" width="16.140625" style="2" customWidth="1" outlineLevel="1"/>
    <col min="26" max="26" width="10.8515625" style="2" customWidth="1" outlineLevel="1"/>
    <col min="27" max="27" width="10.7109375" style="2" bestFit="1" customWidth="1"/>
    <col min="28" max="16384" width="9.140625" style="2" customWidth="1"/>
  </cols>
  <sheetData>
    <row r="1" spans="1:17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57"/>
    </row>
    <row r="2" spans="1:17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"/>
    </row>
    <row r="3" spans="1:17" ht="18.75">
      <c r="A3" s="1"/>
      <c r="B3" s="4" t="s">
        <v>60</v>
      </c>
      <c r="C3" s="5"/>
      <c r="D3" s="1"/>
      <c r="E3" s="5"/>
      <c r="F3" s="57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6" t="s">
        <v>44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.75">
      <c r="A5" s="1"/>
      <c r="B5" s="7" t="s">
        <v>147</v>
      </c>
      <c r="C5" s="1"/>
      <c r="D5" s="1"/>
      <c r="E5" s="1"/>
      <c r="F5" s="57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2" t="s">
        <v>2</v>
      </c>
      <c r="C6" s="1"/>
      <c r="D6" s="8">
        <v>8240.6</v>
      </c>
      <c r="E6" s="1"/>
      <c r="F6" s="5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2" t="s">
        <v>3</v>
      </c>
      <c r="C7" s="1"/>
      <c r="D7" s="8">
        <v>1861.56</v>
      </c>
      <c r="E7" s="1"/>
      <c r="F7" s="5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9" t="s">
        <v>4</v>
      </c>
      <c r="C8" s="1"/>
      <c r="D8" s="10">
        <v>0.9661844609201887</v>
      </c>
      <c r="E8" s="1"/>
      <c r="F8" s="5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5:10" ht="15">
      <c r="E9" s="8"/>
      <c r="F9" s="11"/>
      <c r="G9" s="8"/>
      <c r="H9" s="8"/>
      <c r="I9" s="8"/>
      <c r="J9" s="8"/>
    </row>
    <row r="10" spans="2:16" ht="15">
      <c r="B10" s="9"/>
      <c r="C10" s="12"/>
      <c r="F10" s="13"/>
      <c r="H10" s="8"/>
      <c r="I10" s="8"/>
      <c r="J10" s="8"/>
      <c r="P10" s="1"/>
    </row>
    <row r="11" spans="1:17" ht="15">
      <c r="A11" s="5" t="s">
        <v>5</v>
      </c>
      <c r="B11" s="1" t="s">
        <v>6</v>
      </c>
      <c r="C11" s="1"/>
      <c r="D11" s="1"/>
      <c r="E11" s="1"/>
      <c r="F11" s="1"/>
      <c r="G11" s="1"/>
      <c r="H11" s="66">
        <v>0.75</v>
      </c>
      <c r="I11" s="67"/>
      <c r="J11" s="67"/>
      <c r="K11" s="66">
        <v>0.75</v>
      </c>
      <c r="L11" s="15"/>
      <c r="P11" s="1"/>
      <c r="Q11" s="5" t="s">
        <v>150</v>
      </c>
    </row>
    <row r="12" spans="1:17" ht="15">
      <c r="A12" s="88" t="s">
        <v>7</v>
      </c>
      <c r="B12" s="88" t="s">
        <v>8</v>
      </c>
      <c r="C12" s="90"/>
      <c r="D12" s="79" t="s">
        <v>9</v>
      </c>
      <c r="E12" s="80" t="s">
        <v>10</v>
      </c>
      <c r="F12" s="80"/>
      <c r="G12" s="79" t="s">
        <v>11</v>
      </c>
      <c r="H12" s="80" t="s">
        <v>10</v>
      </c>
      <c r="I12" s="80"/>
      <c r="J12" s="79" t="s">
        <v>12</v>
      </c>
      <c r="K12" s="80" t="s">
        <v>10</v>
      </c>
      <c r="L12" s="80"/>
      <c r="M12" s="79" t="s">
        <v>13</v>
      </c>
      <c r="N12" s="80" t="s">
        <v>10</v>
      </c>
      <c r="O12" s="80"/>
      <c r="P12" s="81" t="s">
        <v>148</v>
      </c>
      <c r="Q12" s="82" t="s">
        <v>149</v>
      </c>
    </row>
    <row r="13" spans="1:17" ht="133.5" customHeight="1">
      <c r="A13" s="88"/>
      <c r="B13" s="88"/>
      <c r="C13" s="90"/>
      <c r="D13" s="79"/>
      <c r="E13" s="16" t="s">
        <v>14</v>
      </c>
      <c r="F13" s="16" t="s">
        <v>15</v>
      </c>
      <c r="G13" s="79"/>
      <c r="H13" s="16" t="s">
        <v>14</v>
      </c>
      <c r="I13" s="16" t="s">
        <v>15</v>
      </c>
      <c r="J13" s="79"/>
      <c r="K13" s="16" t="s">
        <v>14</v>
      </c>
      <c r="L13" s="16" t="s">
        <v>15</v>
      </c>
      <c r="M13" s="79"/>
      <c r="N13" s="16" t="s">
        <v>14</v>
      </c>
      <c r="O13" s="16" t="s">
        <v>15</v>
      </c>
      <c r="P13" s="81"/>
      <c r="Q13" s="82"/>
    </row>
    <row r="14" spans="1:17" ht="30">
      <c r="A14" s="17">
        <v>1</v>
      </c>
      <c r="B14" s="18" t="s">
        <v>16</v>
      </c>
      <c r="C14" s="18"/>
      <c r="D14" s="19">
        <v>248240.02000000002</v>
      </c>
      <c r="E14" s="20">
        <v>58814</v>
      </c>
      <c r="F14" s="21">
        <v>189426.02000000002</v>
      </c>
      <c r="G14" s="19">
        <f>H14+I14</f>
        <v>1550517.7199999997</v>
      </c>
      <c r="H14" s="20">
        <v>272433.6</v>
      </c>
      <c r="I14" s="21">
        <v>1278084.1199999999</v>
      </c>
      <c r="J14" s="19">
        <f>K14+L14</f>
        <v>1494335.79</v>
      </c>
      <c r="K14" s="20">
        <v>218503.48</v>
      </c>
      <c r="L14" s="21">
        <v>1275832.31</v>
      </c>
      <c r="M14" s="19">
        <f>N14+O14</f>
        <v>304421.94999999984</v>
      </c>
      <c r="N14" s="20">
        <f>E14+H14-K14</f>
        <v>112744.11999999997</v>
      </c>
      <c r="O14" s="21">
        <v>191677.82999999984</v>
      </c>
      <c r="P14" s="22">
        <v>1354836.14715</v>
      </c>
      <c r="Q14" s="62">
        <f>G14-P14</f>
        <v>195681.57284999965</v>
      </c>
    </row>
    <row r="15" spans="1:17" ht="45">
      <c r="A15" s="17">
        <v>2</v>
      </c>
      <c r="B15" s="18" t="s">
        <v>17</v>
      </c>
      <c r="C15" s="18"/>
      <c r="D15" s="19">
        <v>12185.79</v>
      </c>
      <c r="E15" s="20"/>
      <c r="F15" s="21">
        <v>12185.79</v>
      </c>
      <c r="G15" s="19">
        <v>19198.35</v>
      </c>
      <c r="H15" s="20"/>
      <c r="I15" s="21">
        <v>19198.35</v>
      </c>
      <c r="J15" s="19">
        <v>26818.21</v>
      </c>
      <c r="K15" s="20"/>
      <c r="L15" s="21">
        <v>26818.21</v>
      </c>
      <c r="M15" s="19">
        <v>4565.93</v>
      </c>
      <c r="N15" s="20">
        <v>0</v>
      </c>
      <c r="O15" s="21">
        <v>4565.93</v>
      </c>
      <c r="P15" s="22">
        <f>14655.64+4542.71</f>
        <v>19198.35</v>
      </c>
      <c r="Q15" s="62">
        <f>G15-P15</f>
        <v>0</v>
      </c>
    </row>
    <row r="16" spans="1:17" ht="15">
      <c r="A16" s="17">
        <v>3</v>
      </c>
      <c r="B16" s="18" t="s">
        <v>18</v>
      </c>
      <c r="C16" s="18"/>
      <c r="D16" s="19">
        <v>55122.7</v>
      </c>
      <c r="E16" s="20"/>
      <c r="F16" s="21">
        <v>55122.7</v>
      </c>
      <c r="G16" s="19">
        <v>362473.05</v>
      </c>
      <c r="H16" s="20"/>
      <c r="I16" s="21">
        <v>362473.05</v>
      </c>
      <c r="J16" s="19">
        <v>357751.08</v>
      </c>
      <c r="K16" s="20"/>
      <c r="L16" s="21">
        <v>357751.08</v>
      </c>
      <c r="M16" s="19">
        <v>59844.669999999984</v>
      </c>
      <c r="N16" s="20">
        <v>0</v>
      </c>
      <c r="O16" s="21">
        <v>59844.669999999984</v>
      </c>
      <c r="P16" s="22">
        <v>345440.14099999995</v>
      </c>
      <c r="Q16" s="65">
        <v>1032.909</v>
      </c>
    </row>
    <row r="17" spans="1:17" ht="15">
      <c r="A17" s="17"/>
      <c r="B17" s="23" t="s">
        <v>19</v>
      </c>
      <c r="C17" s="18"/>
      <c r="D17" s="19">
        <v>0</v>
      </c>
      <c r="E17" s="20"/>
      <c r="F17" s="21"/>
      <c r="G17" s="19">
        <v>0</v>
      </c>
      <c r="H17" s="20"/>
      <c r="I17" s="21"/>
      <c r="J17" s="19">
        <v>0</v>
      </c>
      <c r="K17" s="20"/>
      <c r="L17" s="21"/>
      <c r="M17" s="19">
        <v>-402.1</v>
      </c>
      <c r="N17" s="20">
        <v>0</v>
      </c>
      <c r="O17" s="21">
        <v>-402.1</v>
      </c>
      <c r="P17" s="22">
        <v>0</v>
      </c>
      <c r="Q17" s="62">
        <v>0</v>
      </c>
    </row>
    <row r="18" spans="1:17" ht="15">
      <c r="A18" s="17">
        <v>4</v>
      </c>
      <c r="B18" s="18" t="s">
        <v>20</v>
      </c>
      <c r="C18" s="18"/>
      <c r="D18" s="19">
        <v>81783</v>
      </c>
      <c r="E18" s="20">
        <v>81783</v>
      </c>
      <c r="F18" s="21"/>
      <c r="G18" s="19">
        <f>H18+I18</f>
        <v>330605.5</v>
      </c>
      <c r="H18" s="24">
        <v>330605.5</v>
      </c>
      <c r="I18" s="21"/>
      <c r="J18" s="19">
        <f>K18+L18</f>
        <v>270576.44</v>
      </c>
      <c r="K18" s="20">
        <v>270576.44</v>
      </c>
      <c r="L18" s="21"/>
      <c r="M18" s="19">
        <f>N18+O18</f>
        <v>141812.06</v>
      </c>
      <c r="N18" s="20">
        <f>E18+H18-K18</f>
        <v>141812.06</v>
      </c>
      <c r="O18" s="21">
        <v>0</v>
      </c>
      <c r="P18" s="22">
        <v>330605.5</v>
      </c>
      <c r="Q18" s="62">
        <f>G18-P18</f>
        <v>0</v>
      </c>
    </row>
    <row r="19" spans="1:17" ht="15">
      <c r="A19" s="17"/>
      <c r="B19" s="23" t="s">
        <v>19</v>
      </c>
      <c r="C19" s="18"/>
      <c r="D19" s="19"/>
      <c r="E19" s="20"/>
      <c r="F19" s="21"/>
      <c r="G19" s="19">
        <v>0</v>
      </c>
      <c r="H19" s="24"/>
      <c r="I19" s="21"/>
      <c r="J19" s="19"/>
      <c r="K19" s="20"/>
      <c r="L19" s="21"/>
      <c r="M19" s="19"/>
      <c r="N19" s="20"/>
      <c r="O19" s="21"/>
      <c r="P19" s="22">
        <v>0</v>
      </c>
      <c r="Q19" s="62">
        <v>0</v>
      </c>
    </row>
    <row r="20" spans="1:17" ht="15">
      <c r="A20" s="17">
        <v>5</v>
      </c>
      <c r="B20" s="25" t="s">
        <v>21</v>
      </c>
      <c r="C20" s="18"/>
      <c r="D20" s="19">
        <v>22417.18</v>
      </c>
      <c r="E20" s="20"/>
      <c r="F20" s="21">
        <v>22417.18</v>
      </c>
      <c r="G20" s="19">
        <v>0</v>
      </c>
      <c r="H20" s="20"/>
      <c r="I20" s="21"/>
      <c r="J20" s="19">
        <v>8326.78</v>
      </c>
      <c r="K20" s="20"/>
      <c r="L20" s="21">
        <v>8326.78</v>
      </c>
      <c r="M20" s="19">
        <v>14090.4</v>
      </c>
      <c r="N20" s="20">
        <v>0</v>
      </c>
      <c r="O20" s="21">
        <v>14090.4</v>
      </c>
      <c r="P20" s="22">
        <v>0</v>
      </c>
      <c r="Q20" s="62">
        <v>0</v>
      </c>
    </row>
    <row r="21" spans="1:17" ht="15">
      <c r="A21" s="17">
        <v>6</v>
      </c>
      <c r="B21" s="18" t="s">
        <v>22</v>
      </c>
      <c r="C21" s="18"/>
      <c r="D21" s="19">
        <v>0</v>
      </c>
      <c r="E21" s="20"/>
      <c r="F21" s="21"/>
      <c r="G21" s="19">
        <v>0</v>
      </c>
      <c r="H21" s="20"/>
      <c r="I21" s="21"/>
      <c r="J21" s="19">
        <v>0</v>
      </c>
      <c r="K21" s="20"/>
      <c r="L21" s="21"/>
      <c r="M21" s="19">
        <v>0</v>
      </c>
      <c r="N21" s="20">
        <v>0</v>
      </c>
      <c r="O21" s="21">
        <v>0</v>
      </c>
      <c r="P21" s="22">
        <v>0</v>
      </c>
      <c r="Q21" s="62">
        <v>0</v>
      </c>
    </row>
    <row r="22" spans="1:17" ht="15">
      <c r="A22" s="17">
        <v>7</v>
      </c>
      <c r="B22" s="18" t="s">
        <v>23</v>
      </c>
      <c r="C22" s="18"/>
      <c r="D22" s="19">
        <v>25173.289999999997</v>
      </c>
      <c r="E22" s="20"/>
      <c r="F22" s="21">
        <v>25173.289999999997</v>
      </c>
      <c r="G22" s="19">
        <v>168108.24</v>
      </c>
      <c r="H22" s="20"/>
      <c r="I22" s="21">
        <v>168108.24</v>
      </c>
      <c r="J22" s="19">
        <v>167722.99</v>
      </c>
      <c r="K22" s="20"/>
      <c r="L22" s="21">
        <v>167722.99</v>
      </c>
      <c r="M22" s="19">
        <v>25558.540000000008</v>
      </c>
      <c r="N22" s="20">
        <v>0</v>
      </c>
      <c r="O22" s="21">
        <v>25558.540000000008</v>
      </c>
      <c r="P22" s="22">
        <v>168108.24</v>
      </c>
      <c r="Q22" s="62">
        <v>0</v>
      </c>
    </row>
    <row r="23" spans="1:17" ht="15">
      <c r="A23" s="17">
        <v>8</v>
      </c>
      <c r="B23" s="18" t="s">
        <v>24</v>
      </c>
      <c r="C23" s="18"/>
      <c r="D23" s="19">
        <v>0</v>
      </c>
      <c r="E23" s="20"/>
      <c r="F23" s="21"/>
      <c r="G23" s="19">
        <v>0</v>
      </c>
      <c r="H23" s="20"/>
      <c r="I23" s="21"/>
      <c r="J23" s="19">
        <v>0</v>
      </c>
      <c r="K23" s="20"/>
      <c r="L23" s="21"/>
      <c r="M23" s="19">
        <v>0</v>
      </c>
      <c r="N23" s="20">
        <v>0</v>
      </c>
      <c r="O23" s="21">
        <v>0</v>
      </c>
      <c r="P23" s="22">
        <v>0</v>
      </c>
      <c r="Q23" s="62">
        <v>0</v>
      </c>
    </row>
    <row r="24" spans="1:17" ht="30">
      <c r="A24" s="17">
        <v>9</v>
      </c>
      <c r="B24" s="18" t="s">
        <v>42</v>
      </c>
      <c r="C24" s="18"/>
      <c r="D24" s="19">
        <v>0</v>
      </c>
      <c r="E24" s="20"/>
      <c r="F24" s="21"/>
      <c r="G24" s="19">
        <f>H24+I24</f>
        <v>22800</v>
      </c>
      <c r="H24" s="20">
        <f>4800+24000*H11</f>
        <v>22800</v>
      </c>
      <c r="I24" s="21"/>
      <c r="J24" s="19">
        <f>K24+L24</f>
        <v>22800</v>
      </c>
      <c r="K24" s="20">
        <f>4800+24000*K11</f>
        <v>22800</v>
      </c>
      <c r="L24" s="21"/>
      <c r="M24" s="19">
        <f>N24+O24</f>
        <v>0</v>
      </c>
      <c r="N24" s="20">
        <f>E24+H24-K24</f>
        <v>0</v>
      </c>
      <c r="O24" s="21">
        <v>0</v>
      </c>
      <c r="P24" s="22">
        <v>0</v>
      </c>
      <c r="Q24" s="62">
        <f>G24-P24</f>
        <v>22800</v>
      </c>
    </row>
    <row r="25" spans="1:17" ht="15">
      <c r="A25" s="26"/>
      <c r="B25" s="27"/>
      <c r="C25" s="27"/>
      <c r="D25" s="27">
        <v>444921.98</v>
      </c>
      <c r="E25" s="27">
        <v>140597</v>
      </c>
      <c r="F25" s="28">
        <v>304324.98</v>
      </c>
      <c r="G25" s="27">
        <f>SUM(G14:G24)</f>
        <v>2453702.8600000003</v>
      </c>
      <c r="H25" s="27">
        <f>SUM(H14:H24)</f>
        <v>625839.1</v>
      </c>
      <c r="I25" s="28">
        <v>1827863.76</v>
      </c>
      <c r="J25" s="27">
        <f>SUM(J14:J24)</f>
        <v>2348331.29</v>
      </c>
      <c r="K25" s="27">
        <f>SUM(K14:K24)</f>
        <v>511879.92000000004</v>
      </c>
      <c r="L25" s="28">
        <v>1836451.37</v>
      </c>
      <c r="M25" s="27">
        <f>SUM(M14:M24)</f>
        <v>549891.4499999998</v>
      </c>
      <c r="N25" s="27">
        <f>SUM(N14:N24)</f>
        <v>254556.17999999996</v>
      </c>
      <c r="O25" s="28">
        <v>295335.2699999998</v>
      </c>
      <c r="P25" s="27">
        <v>2213504.5381500004</v>
      </c>
      <c r="Q25" s="27">
        <f>SUM(Q14:Q24)</f>
        <v>219514.48184999966</v>
      </c>
    </row>
    <row r="26" spans="1:17" ht="1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3" ht="15">
      <c r="A28" s="5" t="s">
        <v>25</v>
      </c>
      <c r="B28" s="1" t="s">
        <v>26</v>
      </c>
      <c r="C28" s="1"/>
    </row>
    <row r="29" spans="1:17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 t="s">
        <v>151</v>
      </c>
      <c r="N29" s="85"/>
      <c r="O29" s="85"/>
      <c r="P29" s="86"/>
      <c r="Q29" s="31"/>
    </row>
    <row r="30" spans="1:17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4"/>
      <c r="O30" s="74"/>
      <c r="P30" s="74"/>
      <c r="Q30" s="31"/>
    </row>
    <row r="31" spans="1:17" ht="15">
      <c r="A31" s="32"/>
      <c r="B31" s="59"/>
      <c r="C31" s="60"/>
      <c r="D31" s="61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54"/>
      <c r="P31" s="54"/>
      <c r="Q31" s="33"/>
    </row>
    <row r="32" spans="1:17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213434.4</v>
      </c>
      <c r="N32" s="77"/>
      <c r="O32" s="77"/>
      <c r="P32" s="78"/>
      <c r="Q32" s="31"/>
    </row>
    <row r="33" spans="1:17" ht="30">
      <c r="A33" s="35" t="s">
        <v>34</v>
      </c>
      <c r="B33" s="59" t="s">
        <v>105</v>
      </c>
      <c r="C33" s="60"/>
      <c r="D33" s="60"/>
      <c r="E33" s="61"/>
      <c r="F33" s="58"/>
      <c r="G33" s="58"/>
      <c r="H33" s="58"/>
      <c r="I33" s="58"/>
      <c r="J33" s="58"/>
      <c r="K33" s="58"/>
      <c r="L33" s="58"/>
      <c r="M33" s="68">
        <v>16500</v>
      </c>
      <c r="N33" s="68"/>
      <c r="O33" s="68"/>
      <c r="P33" s="68"/>
      <c r="Q33" s="31"/>
    </row>
    <row r="34" spans="1:17" ht="15">
      <c r="A34" s="35" t="s">
        <v>34</v>
      </c>
      <c r="B34" s="59" t="s">
        <v>100</v>
      </c>
      <c r="C34" s="60"/>
      <c r="D34" s="60"/>
      <c r="E34" s="61"/>
      <c r="F34" s="58"/>
      <c r="G34" s="58"/>
      <c r="H34" s="58"/>
      <c r="I34" s="58"/>
      <c r="J34" s="58"/>
      <c r="K34" s="58"/>
      <c r="L34" s="58"/>
      <c r="M34" s="68">
        <v>20487.7</v>
      </c>
      <c r="N34" s="68"/>
      <c r="O34" s="68"/>
      <c r="P34" s="68"/>
      <c r="Q34" s="31"/>
    </row>
    <row r="35" spans="1:17" ht="15">
      <c r="A35" s="35" t="s">
        <v>34</v>
      </c>
      <c r="B35" s="59" t="s">
        <v>37</v>
      </c>
      <c r="C35" s="60"/>
      <c r="D35" s="60"/>
      <c r="E35" s="61"/>
      <c r="F35" s="58"/>
      <c r="G35" s="58"/>
      <c r="H35" s="58"/>
      <c r="I35" s="58"/>
      <c r="J35" s="58"/>
      <c r="K35" s="58"/>
      <c r="L35" s="58"/>
      <c r="M35" s="68">
        <v>61874.83</v>
      </c>
      <c r="N35" s="68"/>
      <c r="O35" s="68"/>
      <c r="P35" s="68"/>
      <c r="Q35" s="31"/>
    </row>
    <row r="36" spans="1:17" ht="15">
      <c r="A36" s="35" t="s">
        <v>34</v>
      </c>
      <c r="B36" s="59" t="s">
        <v>87</v>
      </c>
      <c r="C36" s="60"/>
      <c r="D36" s="60"/>
      <c r="E36" s="61"/>
      <c r="F36" s="58"/>
      <c r="G36" s="58"/>
      <c r="H36" s="58"/>
      <c r="I36" s="58"/>
      <c r="J36" s="58"/>
      <c r="K36" s="58"/>
      <c r="L36" s="58"/>
      <c r="M36" s="68">
        <v>107223.27</v>
      </c>
      <c r="N36" s="68"/>
      <c r="O36" s="68"/>
      <c r="P36" s="68"/>
      <c r="Q36" s="31"/>
    </row>
    <row r="37" spans="1:17" ht="15">
      <c r="A37" s="35" t="s">
        <v>34</v>
      </c>
      <c r="B37" s="59" t="s">
        <v>79</v>
      </c>
      <c r="C37" s="60"/>
      <c r="D37" s="60"/>
      <c r="E37" s="61"/>
      <c r="F37" s="58"/>
      <c r="G37" s="58"/>
      <c r="H37" s="58"/>
      <c r="I37" s="58"/>
      <c r="J37" s="58"/>
      <c r="K37" s="58"/>
      <c r="L37" s="58"/>
      <c r="M37" s="68">
        <v>1364.73</v>
      </c>
      <c r="N37" s="68"/>
      <c r="O37" s="68"/>
      <c r="P37" s="68"/>
      <c r="Q37" s="31"/>
    </row>
    <row r="38" spans="1:17" ht="15">
      <c r="A38" s="35" t="s">
        <v>34</v>
      </c>
      <c r="B38" s="59" t="s">
        <v>80</v>
      </c>
      <c r="C38" s="60"/>
      <c r="D38" s="60"/>
      <c r="E38" s="61"/>
      <c r="F38" s="58"/>
      <c r="G38" s="58"/>
      <c r="H38" s="58"/>
      <c r="I38" s="58"/>
      <c r="J38" s="58"/>
      <c r="K38" s="58"/>
      <c r="L38" s="58"/>
      <c r="M38" s="68">
        <v>1000</v>
      </c>
      <c r="N38" s="68"/>
      <c r="O38" s="68"/>
      <c r="P38" s="68"/>
      <c r="Q38" s="31"/>
    </row>
    <row r="39" spans="1:17" ht="15">
      <c r="A39" s="35" t="s">
        <v>34</v>
      </c>
      <c r="B39" s="59" t="s">
        <v>35</v>
      </c>
      <c r="C39" s="60"/>
      <c r="D39" s="60"/>
      <c r="E39" s="61"/>
      <c r="F39" s="58"/>
      <c r="G39" s="58"/>
      <c r="H39" s="58"/>
      <c r="I39" s="58"/>
      <c r="J39" s="58"/>
      <c r="K39" s="58"/>
      <c r="L39" s="58"/>
      <c r="M39" s="68">
        <v>1490.5</v>
      </c>
      <c r="N39" s="68"/>
      <c r="O39" s="68"/>
      <c r="P39" s="68"/>
      <c r="Q39" s="31"/>
    </row>
    <row r="40" spans="1:17" ht="15">
      <c r="A40" s="35" t="s">
        <v>34</v>
      </c>
      <c r="B40" s="59" t="s">
        <v>79</v>
      </c>
      <c r="C40" s="60"/>
      <c r="D40" s="60"/>
      <c r="E40" s="61"/>
      <c r="F40" s="58"/>
      <c r="G40" s="58"/>
      <c r="H40" s="58"/>
      <c r="I40" s="58"/>
      <c r="J40" s="58"/>
      <c r="K40" s="58"/>
      <c r="L40" s="58"/>
      <c r="M40" s="68">
        <v>960</v>
      </c>
      <c r="N40" s="68"/>
      <c r="O40" s="68"/>
      <c r="P40" s="68"/>
      <c r="Q40" s="44"/>
    </row>
    <row r="41" spans="1:17" ht="15">
      <c r="A41" s="35" t="s">
        <v>34</v>
      </c>
      <c r="B41" s="59" t="s">
        <v>38</v>
      </c>
      <c r="C41" s="60"/>
      <c r="D41" s="60"/>
      <c r="E41" s="61"/>
      <c r="F41" s="58"/>
      <c r="G41" s="58"/>
      <c r="H41" s="58"/>
      <c r="I41" s="58"/>
      <c r="J41" s="58"/>
      <c r="K41" s="58"/>
      <c r="L41" s="58"/>
      <c r="M41" s="68">
        <v>2533.37</v>
      </c>
      <c r="N41" s="68"/>
      <c r="O41" s="68"/>
      <c r="P41" s="68"/>
      <c r="Q41" s="44"/>
    </row>
    <row r="42" spans="1:17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9"/>
      <c r="N42" s="69"/>
      <c r="O42" s="69"/>
      <c r="P42" s="69"/>
      <c r="Q42" s="44"/>
    </row>
    <row r="43" spans="1:17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44"/>
    </row>
    <row r="44" spans="1:16" ht="15">
      <c r="A44" s="39" t="s">
        <v>39</v>
      </c>
      <c r="B44" s="40" t="s">
        <v>139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70">
        <f>Q25</f>
        <v>219514.48184999966</v>
      </c>
      <c r="N44" s="71"/>
      <c r="O44" s="71"/>
      <c r="P44" s="72"/>
    </row>
    <row r="45" spans="1:17" ht="15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6" ht="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  <c r="N46" s="41"/>
      <c r="O46" s="41"/>
      <c r="P46" s="42"/>
    </row>
    <row r="47" spans="2:17" ht="15">
      <c r="B47" s="43" t="s">
        <v>45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 t="s">
        <v>41</v>
      </c>
      <c r="N47" s="43"/>
      <c r="O47" s="43"/>
      <c r="P47" s="6"/>
      <c r="Q47" s="3"/>
    </row>
  </sheetData>
  <sheetProtection/>
  <mergeCells count="32">
    <mergeCell ref="A1:P1"/>
    <mergeCell ref="A2:P2"/>
    <mergeCell ref="A12:A13"/>
    <mergeCell ref="B12:B13"/>
    <mergeCell ref="C12:C13"/>
    <mergeCell ref="D12:D13"/>
    <mergeCell ref="E12:F12"/>
    <mergeCell ref="G12:G13"/>
    <mergeCell ref="H12:I12"/>
    <mergeCell ref="J12:J13"/>
    <mergeCell ref="K12:L12"/>
    <mergeCell ref="M12:M13"/>
    <mergeCell ref="N12:O12"/>
    <mergeCell ref="P12:P13"/>
    <mergeCell ref="Q12:Q13"/>
    <mergeCell ref="B29:L29"/>
    <mergeCell ref="M29:P29"/>
    <mergeCell ref="B30:L30"/>
    <mergeCell ref="M30:P30"/>
    <mergeCell ref="B32:L32"/>
    <mergeCell ref="M32:P32"/>
    <mergeCell ref="M33:P33"/>
    <mergeCell ref="M34:P34"/>
    <mergeCell ref="M41:P41"/>
    <mergeCell ref="M42:P42"/>
    <mergeCell ref="M44:P44"/>
    <mergeCell ref="M35:P35"/>
    <mergeCell ref="M36:P36"/>
    <mergeCell ref="M37:P37"/>
    <mergeCell ref="M38:P38"/>
    <mergeCell ref="M39:P39"/>
    <mergeCell ref="M40:P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zoomScale="80" zoomScaleNormal="80" zoomScalePageLayoutView="0" workbookViewId="0" topLeftCell="A13">
      <selection activeCell="L47" sqref="L47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61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10864.55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986.2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1.0457462406731248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12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484239.52</v>
      </c>
      <c r="D14" s="20">
        <v>33804</v>
      </c>
      <c r="E14" s="21">
        <v>450435.52</v>
      </c>
      <c r="F14" s="19">
        <f>G14+H14</f>
        <v>1852649.73</v>
      </c>
      <c r="G14" s="20">
        <v>153862.8</v>
      </c>
      <c r="H14" s="21">
        <v>1698786.93</v>
      </c>
      <c r="I14" s="19">
        <f>J14+K14</f>
        <v>1949058.19</v>
      </c>
      <c r="J14" s="20">
        <v>173102.31</v>
      </c>
      <c r="K14" s="21">
        <v>1775955.88</v>
      </c>
      <c r="L14" s="19">
        <f>M14+N14</f>
        <v>387831.0600000003</v>
      </c>
      <c r="M14" s="20">
        <f>D14+G14-J14</f>
        <v>14564.48999999999</v>
      </c>
      <c r="N14" s="21">
        <v>373266.5700000003</v>
      </c>
      <c r="O14" s="22">
        <v>2249790.64535</v>
      </c>
      <c r="P14" s="62">
        <f>F14-O14</f>
        <v>-397140.9153499999</v>
      </c>
    </row>
    <row r="15" spans="1:16" ht="45">
      <c r="A15" s="17">
        <v>2</v>
      </c>
      <c r="B15" s="18" t="s">
        <v>17</v>
      </c>
      <c r="C15" s="19">
        <v>24248.61</v>
      </c>
      <c r="D15" s="20"/>
      <c r="E15" s="21">
        <v>24248.61</v>
      </c>
      <c r="F15" s="19">
        <f aca="true" t="shared" si="0" ref="F15:F24">G15+H15</f>
        <v>25045.74</v>
      </c>
      <c r="G15" s="20"/>
      <c r="H15" s="21">
        <v>25045.74</v>
      </c>
      <c r="I15" s="19">
        <f aca="true" t="shared" si="1" ref="I15:I24">J15+K15</f>
        <v>42392.53</v>
      </c>
      <c r="J15" s="20"/>
      <c r="K15" s="21">
        <v>42392.53</v>
      </c>
      <c r="L15" s="19">
        <v>6901.820000000007</v>
      </c>
      <c r="M15" s="20">
        <v>0</v>
      </c>
      <c r="N15" s="21">
        <v>6901.820000000007</v>
      </c>
      <c r="O15" s="22">
        <f>18610.23+6435.51</f>
        <v>25045.739999999998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124525.78</v>
      </c>
      <c r="D16" s="20"/>
      <c r="E16" s="21">
        <v>124525.78</v>
      </c>
      <c r="F16" s="19">
        <f t="shared" si="0"/>
        <v>486298.81</v>
      </c>
      <c r="G16" s="20"/>
      <c r="H16" s="21">
        <v>486298.81</v>
      </c>
      <c r="I16" s="19">
        <f t="shared" si="1"/>
        <v>505040.59</v>
      </c>
      <c r="J16" s="20"/>
      <c r="K16" s="21">
        <v>505040.59</v>
      </c>
      <c r="L16" s="19">
        <v>105783.99999999994</v>
      </c>
      <c r="M16" s="20">
        <v>0</v>
      </c>
      <c r="N16" s="21">
        <v>105783.99999999994</v>
      </c>
      <c r="O16" s="22">
        <v>461341.00955</v>
      </c>
      <c r="P16" s="65">
        <v>2957.8004499999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-551.16</v>
      </c>
      <c r="M17" s="20">
        <v>0</v>
      </c>
      <c r="N17" s="21">
        <v>-551.16</v>
      </c>
      <c r="O17" s="22">
        <v>0</v>
      </c>
      <c r="P17" s="62">
        <f aca="true" t="shared" si="2" ref="P17:P24">F17-O17</f>
        <v>0</v>
      </c>
    </row>
    <row r="18" spans="1:16" ht="15">
      <c r="A18" s="17">
        <v>4</v>
      </c>
      <c r="B18" s="18" t="s">
        <v>20</v>
      </c>
      <c r="C18" s="19">
        <v>71707</v>
      </c>
      <c r="D18" s="20">
        <v>71707</v>
      </c>
      <c r="E18" s="21"/>
      <c r="F18" s="19">
        <f t="shared" si="0"/>
        <v>286407.1</v>
      </c>
      <c r="G18" s="24">
        <v>286407.1</v>
      </c>
      <c r="H18" s="21"/>
      <c r="I18" s="19">
        <f t="shared" si="1"/>
        <v>348152.59</v>
      </c>
      <c r="J18" s="20">
        <v>348152.59</v>
      </c>
      <c r="K18" s="21"/>
      <c r="L18" s="19">
        <f>M18+N18</f>
        <v>9961.509999999951</v>
      </c>
      <c r="M18" s="20">
        <f>D18+G18-J18</f>
        <v>9961.509999999951</v>
      </c>
      <c r="N18" s="21">
        <v>0</v>
      </c>
      <c r="O18" s="22">
        <v>286407.1</v>
      </c>
      <c r="P18" s="62">
        <f t="shared" si="2"/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/>
      <c r="M19" s="20">
        <v>0</v>
      </c>
      <c r="N19" s="21">
        <v>0</v>
      </c>
      <c r="O19" s="22">
        <v>0</v>
      </c>
      <c r="P19" s="62">
        <f t="shared" si="2"/>
        <v>0</v>
      </c>
    </row>
    <row r="20" spans="1:16" ht="15">
      <c r="A20" s="17">
        <v>5</v>
      </c>
      <c r="B20" s="25" t="s">
        <v>21</v>
      </c>
      <c r="C20" s="19">
        <v>36588.76</v>
      </c>
      <c r="D20" s="20">
        <v>203</v>
      </c>
      <c r="E20" s="21">
        <v>36385.76</v>
      </c>
      <c r="F20" s="19">
        <f t="shared" si="0"/>
        <v>0</v>
      </c>
      <c r="G20" s="20"/>
      <c r="H20" s="21"/>
      <c r="I20" s="19">
        <f t="shared" si="1"/>
        <v>15959.82</v>
      </c>
      <c r="J20" s="20"/>
      <c r="K20" s="21">
        <v>15959.82</v>
      </c>
      <c r="L20" s="19">
        <v>20628.940000000002</v>
      </c>
      <c r="M20" s="20">
        <v>203</v>
      </c>
      <c r="N20" s="21">
        <v>20425.940000000002</v>
      </c>
      <c r="O20" s="22">
        <v>0</v>
      </c>
      <c r="P20" s="62">
        <f t="shared" si="2"/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f t="shared" si="2"/>
        <v>0</v>
      </c>
    </row>
    <row r="22" spans="1:16" ht="15">
      <c r="A22" s="17">
        <v>7</v>
      </c>
      <c r="B22" s="18" t="s">
        <v>23</v>
      </c>
      <c r="C22" s="19">
        <v>56010.73</v>
      </c>
      <c r="D22" s="20"/>
      <c r="E22" s="21">
        <v>56010.73</v>
      </c>
      <c r="F22" s="19">
        <f t="shared" si="0"/>
        <v>221201.33</v>
      </c>
      <c r="G22" s="20"/>
      <c r="H22" s="21">
        <v>221201.33</v>
      </c>
      <c r="I22" s="19">
        <f t="shared" si="1"/>
        <v>229517.9</v>
      </c>
      <c r="J22" s="20"/>
      <c r="K22" s="21">
        <v>229517.9</v>
      </c>
      <c r="L22" s="19">
        <v>47694.16</v>
      </c>
      <c r="M22" s="20">
        <v>0</v>
      </c>
      <c r="N22" s="21">
        <v>47694.16</v>
      </c>
      <c r="O22" s="22">
        <v>221201.33000000002</v>
      </c>
      <c r="P22" s="62">
        <f t="shared" si="2"/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f t="shared" si="2"/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18000</v>
      </c>
      <c r="G24" s="20">
        <f>24000*G11</f>
        <v>18000</v>
      </c>
      <c r="H24" s="21"/>
      <c r="I24" s="19">
        <f t="shared" si="1"/>
        <v>18000</v>
      </c>
      <c r="J24" s="20">
        <f>24000*J11</f>
        <v>18000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 t="shared" si="2"/>
        <v>18000</v>
      </c>
    </row>
    <row r="25" spans="1:16" ht="15">
      <c r="A25" s="26"/>
      <c r="B25" s="27"/>
      <c r="C25" s="27">
        <v>797320.4</v>
      </c>
      <c r="D25" s="27">
        <v>105714</v>
      </c>
      <c r="E25" s="28">
        <v>691606.4</v>
      </c>
      <c r="F25" s="27">
        <f>SUM(F14:F24)</f>
        <v>2889602.71</v>
      </c>
      <c r="G25" s="27">
        <f>SUM(G14:G24)</f>
        <v>458269.89999999997</v>
      </c>
      <c r="H25" s="28">
        <v>2431332.81</v>
      </c>
      <c r="I25" s="27">
        <f>SUM(I14:I24)</f>
        <v>3108121.6199999996</v>
      </c>
      <c r="J25" s="27">
        <f>SUM(J14:J24)</f>
        <v>539254.9</v>
      </c>
      <c r="K25" s="28">
        <v>2568866.7199999997</v>
      </c>
      <c r="L25" s="27">
        <v>663927.9250000004</v>
      </c>
      <c r="M25" s="27">
        <v>110406.59500000003</v>
      </c>
      <c r="N25" s="28">
        <v>553521.3300000003</v>
      </c>
      <c r="O25" s="27">
        <v>3237018.7749</v>
      </c>
      <c r="P25" s="27">
        <f>SUM(P14:P24)</f>
        <v>-376183.1149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821777.74</v>
      </c>
      <c r="M32" s="77"/>
      <c r="N32" s="77"/>
      <c r="O32" s="78"/>
      <c r="P32" s="31"/>
    </row>
    <row r="33" spans="1:16" ht="30">
      <c r="A33" s="35" t="s">
        <v>34</v>
      </c>
      <c r="B33" s="59" t="s">
        <v>143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356599.46</v>
      </c>
      <c r="M33" s="68"/>
      <c r="N33" s="68"/>
      <c r="O33" s="68"/>
      <c r="P33" s="31"/>
    </row>
    <row r="34" spans="1:16" ht="30">
      <c r="A34" s="35" t="s">
        <v>34</v>
      </c>
      <c r="B34" s="59" t="s">
        <v>144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131792.08</v>
      </c>
      <c r="M34" s="68"/>
      <c r="N34" s="68"/>
      <c r="O34" s="68"/>
      <c r="P34" s="31"/>
    </row>
    <row r="35" spans="1:16" ht="15">
      <c r="A35" s="35" t="s">
        <v>34</v>
      </c>
      <c r="B35" s="59" t="s">
        <v>107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14056.07</v>
      </c>
      <c r="M35" s="68"/>
      <c r="N35" s="68"/>
      <c r="O35" s="68"/>
      <c r="P35" s="31"/>
    </row>
    <row r="36" spans="1:16" ht="15">
      <c r="A36" s="35" t="s">
        <v>34</v>
      </c>
      <c r="B36" s="59" t="s">
        <v>36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829.39</v>
      </c>
      <c r="M36" s="68"/>
      <c r="N36" s="68"/>
      <c r="O36" s="68"/>
      <c r="P36" s="31"/>
    </row>
    <row r="37" spans="1:16" ht="15">
      <c r="A37" s="35" t="s">
        <v>34</v>
      </c>
      <c r="B37" s="59" t="s">
        <v>37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46067.8</v>
      </c>
      <c r="M37" s="68"/>
      <c r="N37" s="68"/>
      <c r="O37" s="68"/>
      <c r="P37" s="31"/>
    </row>
    <row r="38" spans="1:16" ht="15">
      <c r="A38" s="35" t="s">
        <v>34</v>
      </c>
      <c r="B38" s="59" t="s">
        <v>37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5954.69</v>
      </c>
      <c r="M38" s="68"/>
      <c r="N38" s="68"/>
      <c r="O38" s="68"/>
      <c r="P38" s="31"/>
    </row>
    <row r="39" spans="1:16" ht="15">
      <c r="A39" s="35" t="s">
        <v>34</v>
      </c>
      <c r="B39" s="59" t="s">
        <v>82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14636</v>
      </c>
      <c r="M39" s="68"/>
      <c r="N39" s="68"/>
      <c r="O39" s="68"/>
      <c r="P39" s="31"/>
    </row>
    <row r="40" spans="1:16" ht="15">
      <c r="A40" s="35" t="s">
        <v>34</v>
      </c>
      <c r="B40" s="59" t="s">
        <v>87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240000</v>
      </c>
      <c r="M40" s="68"/>
      <c r="N40" s="68"/>
      <c r="O40" s="68"/>
      <c r="P40" s="31"/>
    </row>
    <row r="41" spans="1:16" ht="15">
      <c r="A41" s="35" t="s">
        <v>34</v>
      </c>
      <c r="B41" s="59" t="s">
        <v>79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960</v>
      </c>
      <c r="M41" s="68"/>
      <c r="N41" s="68"/>
      <c r="O41" s="68"/>
      <c r="P41" s="31"/>
    </row>
    <row r="42" spans="1:16" ht="15">
      <c r="A42" s="35" t="s">
        <v>34</v>
      </c>
      <c r="B42" s="59" t="s">
        <v>108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8625</v>
      </c>
      <c r="M42" s="68"/>
      <c r="N42" s="68"/>
      <c r="O42" s="68"/>
      <c r="P42" s="31"/>
    </row>
    <row r="43" spans="1:16" ht="15">
      <c r="A43" s="35" t="s">
        <v>34</v>
      </c>
      <c r="B43" s="59" t="s">
        <v>38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2257.25</v>
      </c>
      <c r="M43" s="68"/>
      <c r="N43" s="68"/>
      <c r="O43" s="68"/>
      <c r="P43" s="31"/>
    </row>
    <row r="44" spans="1:16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69"/>
      <c r="M44" s="69"/>
      <c r="N44" s="69"/>
      <c r="O44" s="69"/>
      <c r="P44" s="44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44"/>
    </row>
    <row r="46" spans="1:15" ht="15">
      <c r="A46" s="39" t="s">
        <v>39</v>
      </c>
      <c r="B46" s="40" t="s">
        <v>40</v>
      </c>
      <c r="C46" s="40"/>
      <c r="D46" s="40"/>
      <c r="E46" s="40"/>
      <c r="F46" s="40"/>
      <c r="G46" s="40"/>
      <c r="H46" s="40"/>
      <c r="I46" s="40"/>
      <c r="J46" s="40"/>
      <c r="K46" s="40"/>
      <c r="L46" s="70">
        <f>P25</f>
        <v>-376183.1149</v>
      </c>
      <c r="M46" s="71"/>
      <c r="N46" s="71"/>
      <c r="O46" s="72"/>
    </row>
    <row r="47" spans="1:16" ht="15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5" ht="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2"/>
    </row>
    <row r="49" spans="2:16" ht="15">
      <c r="B49" s="43" t="s">
        <v>45</v>
      </c>
      <c r="C49" s="43"/>
      <c r="D49" s="43"/>
      <c r="E49" s="43"/>
      <c r="F49" s="43"/>
      <c r="G49" s="43"/>
      <c r="H49" s="43"/>
      <c r="I49" s="43"/>
      <c r="J49" s="43"/>
      <c r="K49" s="43"/>
      <c r="L49" s="43" t="s">
        <v>41</v>
      </c>
      <c r="M49" s="43"/>
      <c r="N49" s="43"/>
      <c r="O49" s="6"/>
      <c r="P49" s="3"/>
    </row>
  </sheetData>
  <sheetProtection/>
  <mergeCells count="33">
    <mergeCell ref="A1:O1"/>
    <mergeCell ref="A2:O2"/>
    <mergeCell ref="A12:A13"/>
    <mergeCell ref="B12:B13"/>
    <mergeCell ref="C12:C13"/>
    <mergeCell ref="D12:E12"/>
    <mergeCell ref="B29:K29"/>
    <mergeCell ref="B30:K30"/>
    <mergeCell ref="L30:O30"/>
    <mergeCell ref="B32:K32"/>
    <mergeCell ref="L32:O32"/>
    <mergeCell ref="F12:F13"/>
    <mergeCell ref="G12:H12"/>
    <mergeCell ref="I12:I13"/>
    <mergeCell ref="J12:K12"/>
    <mergeCell ref="L12:L13"/>
    <mergeCell ref="L35:O35"/>
    <mergeCell ref="L36:O36"/>
    <mergeCell ref="L37:O37"/>
    <mergeCell ref="L38:O38"/>
    <mergeCell ref="O12:O13"/>
    <mergeCell ref="P12:P13"/>
    <mergeCell ref="M12:N12"/>
    <mergeCell ref="L46:O46"/>
    <mergeCell ref="L29:O29"/>
    <mergeCell ref="L39:O39"/>
    <mergeCell ref="L40:O40"/>
    <mergeCell ref="L41:O41"/>
    <mergeCell ref="L42:O42"/>
    <mergeCell ref="L43:O43"/>
    <mergeCell ref="L44:O44"/>
    <mergeCell ref="L33:O33"/>
    <mergeCell ref="L34:O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3">
      <selection activeCell="L40" sqref="L40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62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2147.6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753.3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1.0825808499828673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47.7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99380.42</v>
      </c>
      <c r="D14" s="20">
        <v>20644</v>
      </c>
      <c r="E14" s="21">
        <v>78736.42</v>
      </c>
      <c r="F14" s="19">
        <f>G14+H14</f>
        <v>440400.12</v>
      </c>
      <c r="G14" s="20">
        <v>117514.8</v>
      </c>
      <c r="H14" s="21">
        <v>322885.32</v>
      </c>
      <c r="I14" s="19">
        <f>J14+K14</f>
        <v>480029.46</v>
      </c>
      <c r="J14" s="20">
        <v>127307.7</v>
      </c>
      <c r="K14" s="21">
        <v>352721.76</v>
      </c>
      <c r="L14" s="19">
        <f>M14+N14</f>
        <v>59751.07999999997</v>
      </c>
      <c r="M14" s="20">
        <f>D14+G14-J14</f>
        <v>10851.099999999991</v>
      </c>
      <c r="N14" s="21">
        <v>48899.97999999998</v>
      </c>
      <c r="O14" s="22">
        <v>420288.95220000006</v>
      </c>
      <c r="P14" s="62">
        <f>F14-O14</f>
        <v>20111.167799999937</v>
      </c>
    </row>
    <row r="15" spans="1:16" ht="45">
      <c r="A15" s="17">
        <v>2</v>
      </c>
      <c r="B15" s="18" t="s">
        <v>17</v>
      </c>
      <c r="C15" s="19">
        <v>14742.460000000001</v>
      </c>
      <c r="D15" s="20"/>
      <c r="E15" s="21">
        <v>14742.460000000001</v>
      </c>
      <c r="F15" s="19">
        <v>1779.56</v>
      </c>
      <c r="G15" s="20"/>
      <c r="H15" s="21">
        <v>1779.56</v>
      </c>
      <c r="I15" s="19">
        <v>1502.85</v>
      </c>
      <c r="J15" s="20"/>
      <c r="K15" s="21">
        <v>1502.85</v>
      </c>
      <c r="L15" s="19">
        <v>15019.17</v>
      </c>
      <c r="M15" s="20">
        <v>0</v>
      </c>
      <c r="N15" s="21">
        <v>15019.17</v>
      </c>
      <c r="O15" s="22">
        <v>1779.56</v>
      </c>
      <c r="P15" s="62">
        <v>0</v>
      </c>
    </row>
    <row r="16" spans="1:16" ht="15">
      <c r="A16" s="17">
        <v>3</v>
      </c>
      <c r="B16" s="18" t="s">
        <v>18</v>
      </c>
      <c r="C16" s="19">
        <v>22727.24</v>
      </c>
      <c r="D16" s="20"/>
      <c r="E16" s="21">
        <v>22727.24</v>
      </c>
      <c r="F16" s="19">
        <v>96041.76</v>
      </c>
      <c r="G16" s="20"/>
      <c r="H16" s="21">
        <v>96041.76</v>
      </c>
      <c r="I16" s="19">
        <v>101944.62</v>
      </c>
      <c r="J16" s="20"/>
      <c r="K16" s="21">
        <v>101944.62</v>
      </c>
      <c r="L16" s="19">
        <v>16824.380000000005</v>
      </c>
      <c r="M16" s="20">
        <v>0</v>
      </c>
      <c r="N16" s="21">
        <v>16824.380000000005</v>
      </c>
      <c r="O16" s="22">
        <v>90134.7763</v>
      </c>
      <c r="P16" s="62">
        <v>5906.983699999997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-466.22</v>
      </c>
      <c r="D18" s="20"/>
      <c r="E18" s="21">
        <v>-466.22</v>
      </c>
      <c r="F18" s="19">
        <v>0</v>
      </c>
      <c r="G18" s="24"/>
      <c r="H18" s="21"/>
      <c r="I18" s="19">
        <v>0</v>
      </c>
      <c r="J18" s="20"/>
      <c r="K18" s="21"/>
      <c r="L18" s="19">
        <v>-466.22</v>
      </c>
      <c r="M18" s="20">
        <v>0</v>
      </c>
      <c r="N18" s="21">
        <v>-466.22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-980.94</v>
      </c>
      <c r="D22" s="20"/>
      <c r="E22" s="21">
        <v>-980.94</v>
      </c>
      <c r="F22" s="19">
        <v>0</v>
      </c>
      <c r="G22" s="20"/>
      <c r="H22" s="21"/>
      <c r="I22" s="19">
        <v>0</v>
      </c>
      <c r="J22" s="20"/>
      <c r="K22" s="21"/>
      <c r="L22" s="19">
        <v>-980.94</v>
      </c>
      <c r="M22" s="20">
        <v>0</v>
      </c>
      <c r="N22" s="21">
        <v>-980.94</v>
      </c>
      <c r="O22" s="22">
        <v>0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0</v>
      </c>
      <c r="G24" s="20"/>
      <c r="H24" s="21"/>
      <c r="I24" s="19">
        <f>J24+K24</f>
        <v>0</v>
      </c>
      <c r="J24" s="20"/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v>135402.96</v>
      </c>
      <c r="D25" s="27">
        <v>20644</v>
      </c>
      <c r="E25" s="28">
        <v>114758.96</v>
      </c>
      <c r="F25" s="27">
        <f>SUM(F14:F24)</f>
        <v>538221.44</v>
      </c>
      <c r="G25" s="27">
        <f>SUM(G14:G24)</f>
        <v>117514.8</v>
      </c>
      <c r="H25" s="28">
        <v>420706.64</v>
      </c>
      <c r="I25" s="27">
        <f>SUM(I14:I24)</f>
        <v>583476.9299999999</v>
      </c>
      <c r="J25" s="27">
        <f>SUM(J14:J24)</f>
        <v>127307.7</v>
      </c>
      <c r="K25" s="28">
        <v>456169.23</v>
      </c>
      <c r="L25" s="27">
        <f>SUM(L14:L24)</f>
        <v>90147.46999999997</v>
      </c>
      <c r="M25" s="27">
        <f>SUM(M14:M24)</f>
        <v>10851.099999999991</v>
      </c>
      <c r="N25" s="28">
        <v>79296.36999999998</v>
      </c>
      <c r="O25" s="27">
        <v>512203.2885</v>
      </c>
      <c r="P25" s="27">
        <f>SUM(P14:P24)</f>
        <v>26018.151499999934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103054.37</v>
      </c>
      <c r="M32" s="77"/>
      <c r="N32" s="77"/>
      <c r="O32" s="78"/>
      <c r="P32" s="31"/>
    </row>
    <row r="33" spans="1:16" ht="30">
      <c r="A33" s="35" t="s">
        <v>34</v>
      </c>
      <c r="B33" s="59" t="s">
        <v>92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21038</v>
      </c>
      <c r="M33" s="68"/>
      <c r="N33" s="68"/>
      <c r="O33" s="68"/>
      <c r="P33" s="31"/>
    </row>
    <row r="34" spans="1:16" ht="15">
      <c r="A34" s="35" t="s">
        <v>34</v>
      </c>
      <c r="B34" s="59" t="s">
        <v>109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49010.7</v>
      </c>
      <c r="M34" s="68"/>
      <c r="N34" s="68"/>
      <c r="O34" s="68"/>
      <c r="P34" s="31"/>
    </row>
    <row r="35" spans="1:16" ht="30">
      <c r="A35" s="35" t="s">
        <v>34</v>
      </c>
      <c r="B35" s="59" t="s">
        <v>110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32480.2</v>
      </c>
      <c r="M35" s="68"/>
      <c r="N35" s="68"/>
      <c r="O35" s="68"/>
      <c r="P35" s="31"/>
    </row>
    <row r="36" spans="1:16" ht="15">
      <c r="A36" s="35" t="s">
        <v>34</v>
      </c>
      <c r="B36" s="59" t="s">
        <v>35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525.47</v>
      </c>
      <c r="M36" s="68"/>
      <c r="N36" s="68"/>
      <c r="O36" s="68"/>
      <c r="P36" s="44"/>
    </row>
    <row r="37" spans="1:16" ht="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69"/>
      <c r="M37" s="69"/>
      <c r="N37" s="69"/>
      <c r="O37" s="69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  <c r="O38" s="38"/>
      <c r="P38" s="44"/>
    </row>
    <row r="39" spans="1:15" ht="15">
      <c r="A39" s="39" t="s">
        <v>39</v>
      </c>
      <c r="B39" s="40" t="s">
        <v>135</v>
      </c>
      <c r="C39" s="40"/>
      <c r="D39" s="40"/>
      <c r="E39" s="40"/>
      <c r="F39" s="40"/>
      <c r="G39" s="40"/>
      <c r="H39" s="40"/>
      <c r="I39" s="40"/>
      <c r="J39" s="40"/>
      <c r="K39" s="40"/>
      <c r="L39" s="70">
        <f>P25</f>
        <v>26018.151499999934</v>
      </c>
      <c r="M39" s="71"/>
      <c r="N39" s="71"/>
      <c r="O39" s="72"/>
    </row>
    <row r="40" spans="1:16" ht="15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2"/>
    </row>
    <row r="42" spans="2:16" ht="15">
      <c r="B42" s="43" t="s">
        <v>45</v>
      </c>
      <c r="C42" s="43"/>
      <c r="D42" s="43"/>
      <c r="E42" s="43"/>
      <c r="F42" s="43"/>
      <c r="G42" s="43"/>
      <c r="H42" s="43"/>
      <c r="I42" s="43"/>
      <c r="J42" s="43"/>
      <c r="K42" s="43"/>
      <c r="L42" s="43" t="s">
        <v>41</v>
      </c>
      <c r="M42" s="43"/>
      <c r="N42" s="43"/>
      <c r="O42" s="6"/>
      <c r="P42" s="3"/>
    </row>
  </sheetData>
  <sheetProtection/>
  <mergeCells count="26">
    <mergeCell ref="A1:O1"/>
    <mergeCell ref="A2:O2"/>
    <mergeCell ref="L12:L13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L29:O29"/>
    <mergeCell ref="G12:H12"/>
    <mergeCell ref="I12:I13"/>
    <mergeCell ref="L39:O39"/>
    <mergeCell ref="J12:K12"/>
    <mergeCell ref="L33:O33"/>
    <mergeCell ref="L34:O34"/>
    <mergeCell ref="L35:O35"/>
    <mergeCell ref="L36:O36"/>
    <mergeCell ref="L37:O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7">
      <selection activeCell="P14" sqref="P14:P15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63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8253.9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642.2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1.12566697081942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 customHeight="1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2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402544.49</v>
      </c>
      <c r="D14" s="20">
        <v>168241</v>
      </c>
      <c r="E14" s="21">
        <v>234303.49</v>
      </c>
      <c r="F14" s="19">
        <f>G14+H14</f>
        <v>1339960.52</v>
      </c>
      <c r="G14" s="20">
        <v>97926.78</v>
      </c>
      <c r="H14" s="21">
        <v>1242033.74</v>
      </c>
      <c r="I14" s="19">
        <f>J14+K14</f>
        <v>1526993.24</v>
      </c>
      <c r="J14" s="20">
        <v>209919.8</v>
      </c>
      <c r="K14" s="21">
        <v>1317073.44</v>
      </c>
      <c r="L14" s="19">
        <f>M14+N14</f>
        <v>215511.77000000008</v>
      </c>
      <c r="M14" s="20">
        <f>D14+G14-J14</f>
        <v>56247.98000000004</v>
      </c>
      <c r="N14" s="21">
        <v>159263.79000000004</v>
      </c>
      <c r="O14" s="22">
        <v>1235564.5225</v>
      </c>
      <c r="P14" s="62">
        <f>F14-O14</f>
        <v>104395.99750000006</v>
      </c>
    </row>
    <row r="15" spans="1:16" ht="45">
      <c r="A15" s="17">
        <v>2</v>
      </c>
      <c r="B15" s="18" t="s">
        <v>17</v>
      </c>
      <c r="C15" s="19">
        <v>4005.63</v>
      </c>
      <c r="D15" s="20"/>
      <c r="E15" s="21">
        <v>4005.63</v>
      </c>
      <c r="F15" s="19">
        <f aca="true" t="shared" si="0" ref="F15:F24">G15+H15</f>
        <v>6136.37</v>
      </c>
      <c r="G15" s="20"/>
      <c r="H15" s="21">
        <v>6136.37</v>
      </c>
      <c r="I15" s="19">
        <f aca="true" t="shared" si="1" ref="I15:I24">J15+K15</f>
        <v>9867.05</v>
      </c>
      <c r="J15" s="20"/>
      <c r="K15" s="21">
        <v>9867.05</v>
      </c>
      <c r="L15" s="19">
        <f aca="true" t="shared" si="2" ref="L15:L24">M15+N15</f>
        <v>274.9500000000007</v>
      </c>
      <c r="M15" s="20">
        <v>0</v>
      </c>
      <c r="N15" s="21">
        <v>274.9500000000007</v>
      </c>
      <c r="O15" s="22">
        <f>8084.93-1948.56</f>
        <v>6136.370000000001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71869.68</v>
      </c>
      <c r="D16" s="20"/>
      <c r="E16" s="21">
        <v>71869.68</v>
      </c>
      <c r="F16" s="19">
        <f t="shared" si="0"/>
        <v>369441.7</v>
      </c>
      <c r="G16" s="20"/>
      <c r="H16" s="21">
        <v>369441.7</v>
      </c>
      <c r="I16" s="19">
        <f t="shared" si="1"/>
        <v>387661.12</v>
      </c>
      <c r="J16" s="20"/>
      <c r="K16" s="21">
        <v>387661.12</v>
      </c>
      <c r="L16" s="19">
        <f t="shared" si="2"/>
        <v>53650.26000000001</v>
      </c>
      <c r="M16" s="20">
        <v>0</v>
      </c>
      <c r="N16" s="21">
        <v>53650.26000000001</v>
      </c>
      <c r="O16" s="22">
        <v>344825.194</v>
      </c>
      <c r="P16" s="65">
        <v>4616.506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f t="shared" si="2"/>
        <v>-1209.1</v>
      </c>
      <c r="M17" s="20">
        <v>0</v>
      </c>
      <c r="N17" s="21">
        <v>-1209.1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1220.13</v>
      </c>
      <c r="D18" s="20">
        <v>937</v>
      </c>
      <c r="E18" s="21">
        <v>283.13</v>
      </c>
      <c r="F18" s="19">
        <f t="shared" si="0"/>
        <v>154373.72</v>
      </c>
      <c r="G18" s="24">
        <v>154373.72</v>
      </c>
      <c r="H18" s="21"/>
      <c r="I18" s="19">
        <f t="shared" si="1"/>
        <v>154019.24</v>
      </c>
      <c r="J18" s="20">
        <v>154019.24</v>
      </c>
      <c r="K18" s="21"/>
      <c r="L18" s="19">
        <f t="shared" si="2"/>
        <v>1574.6100000000106</v>
      </c>
      <c r="M18" s="20">
        <f>D18+G18-J18</f>
        <v>1291.4800000000105</v>
      </c>
      <c r="N18" s="21">
        <v>283.13</v>
      </c>
      <c r="O18" s="22">
        <v>154373.72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>
        <f t="shared" si="2"/>
        <v>0</v>
      </c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f t="shared" si="2"/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f t="shared" si="2"/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34263.05</v>
      </c>
      <c r="D22" s="20"/>
      <c r="E22" s="21">
        <v>34263.05</v>
      </c>
      <c r="F22" s="19">
        <f t="shared" si="0"/>
        <v>168377.69</v>
      </c>
      <c r="G22" s="20"/>
      <c r="H22" s="21">
        <v>168377.69</v>
      </c>
      <c r="I22" s="19">
        <f t="shared" si="1"/>
        <v>173654.09</v>
      </c>
      <c r="J22" s="20"/>
      <c r="K22" s="21">
        <v>173654.09</v>
      </c>
      <c r="L22" s="19">
        <f t="shared" si="2"/>
        <v>28986.649999999994</v>
      </c>
      <c r="M22" s="20">
        <v>0</v>
      </c>
      <c r="N22" s="21">
        <v>28986.649999999994</v>
      </c>
      <c r="O22" s="22">
        <v>168377.69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f t="shared" si="2"/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13500</v>
      </c>
      <c r="G24" s="20">
        <f>18000*G11</f>
        <v>13500</v>
      </c>
      <c r="H24" s="21"/>
      <c r="I24" s="19">
        <f t="shared" si="1"/>
        <v>13500</v>
      </c>
      <c r="J24" s="20">
        <f>18000*J11</f>
        <v>13500</v>
      </c>
      <c r="K24" s="21"/>
      <c r="L24" s="19">
        <f t="shared" si="2"/>
        <v>0</v>
      </c>
      <c r="M24" s="20">
        <f>D24+G24-J24</f>
        <v>0</v>
      </c>
      <c r="N24" s="21">
        <v>0</v>
      </c>
      <c r="O24" s="22">
        <v>0</v>
      </c>
      <c r="P24" s="62">
        <f>F24-O24</f>
        <v>13500</v>
      </c>
    </row>
    <row r="25" spans="1:16" ht="15">
      <c r="A25" s="26"/>
      <c r="B25" s="27"/>
      <c r="C25" s="27">
        <v>513902.98</v>
      </c>
      <c r="D25" s="27">
        <v>169178</v>
      </c>
      <c r="E25" s="28">
        <v>344724.98</v>
      </c>
      <c r="F25" s="27">
        <f>SUM(F14:F24)</f>
        <v>2051790</v>
      </c>
      <c r="G25" s="27">
        <f>SUM(G14:G24)</f>
        <v>265800.5</v>
      </c>
      <c r="H25" s="28">
        <v>1785989.5</v>
      </c>
      <c r="I25" s="27">
        <f>SUM(I14:I24)</f>
        <v>2265694.74</v>
      </c>
      <c r="J25" s="27">
        <f>SUM(J14:J24)</f>
        <v>377439.04</v>
      </c>
      <c r="K25" s="28">
        <v>1888255.7</v>
      </c>
      <c r="L25" s="27">
        <f>SUM(L14:L24)</f>
        <v>298789.14000000013</v>
      </c>
      <c r="M25" s="27">
        <f>SUM(M14:M24)</f>
        <v>57539.46000000005</v>
      </c>
      <c r="N25" s="28">
        <v>241249.68000000005</v>
      </c>
      <c r="O25" s="27">
        <v>1911312.8064999997</v>
      </c>
      <c r="P25" s="27">
        <f>SUM(P14:P24)</f>
        <v>122512.50350000005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 customHeight="1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227606.29</v>
      </c>
      <c r="M32" s="77"/>
      <c r="N32" s="77"/>
      <c r="O32" s="78"/>
      <c r="P32" s="31"/>
    </row>
    <row r="33" spans="1:16" ht="15">
      <c r="A33" s="32" t="s">
        <v>34</v>
      </c>
      <c r="B33" s="59" t="s">
        <v>111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1966</v>
      </c>
      <c r="M33" s="68"/>
      <c r="N33" s="68"/>
      <c r="O33" s="68"/>
      <c r="P33" s="31"/>
    </row>
    <row r="34" spans="1:16" ht="15">
      <c r="A34" s="32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1364.73</v>
      </c>
      <c r="M34" s="68"/>
      <c r="N34" s="68"/>
      <c r="O34" s="68"/>
      <c r="P34" s="31"/>
    </row>
    <row r="35" spans="1:16" ht="15">
      <c r="A35" s="32" t="s">
        <v>34</v>
      </c>
      <c r="B35" s="59" t="s">
        <v>79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960</v>
      </c>
      <c r="M35" s="68"/>
      <c r="N35" s="68"/>
      <c r="O35" s="68"/>
      <c r="P35" s="31"/>
    </row>
    <row r="36" spans="1:16" ht="15">
      <c r="A36" s="32" t="s">
        <v>34</v>
      </c>
      <c r="B36" s="59" t="s">
        <v>106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128450.24</v>
      </c>
      <c r="M36" s="68"/>
      <c r="N36" s="68"/>
      <c r="O36" s="68"/>
      <c r="P36" s="44"/>
    </row>
    <row r="37" spans="1:16" ht="15">
      <c r="A37" s="32" t="s">
        <v>34</v>
      </c>
      <c r="B37" s="59" t="s">
        <v>37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47745.93</v>
      </c>
      <c r="M37" s="68"/>
      <c r="N37" s="68"/>
      <c r="O37" s="68"/>
      <c r="P37" s="44"/>
    </row>
    <row r="38" spans="1:16" ht="15">
      <c r="A38" s="32" t="s">
        <v>34</v>
      </c>
      <c r="B38" s="59" t="s">
        <v>142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42844.11</v>
      </c>
      <c r="M38" s="68"/>
      <c r="N38" s="68"/>
      <c r="O38" s="68"/>
      <c r="P38" s="44"/>
    </row>
    <row r="39" spans="1:16" ht="15">
      <c r="A39" s="32" t="s">
        <v>34</v>
      </c>
      <c r="B39" s="59" t="s">
        <v>38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4275.28</v>
      </c>
      <c r="M39" s="68"/>
      <c r="N39" s="68"/>
      <c r="O39" s="68"/>
      <c r="P39" s="44"/>
    </row>
    <row r="40" spans="1:16" ht="15">
      <c r="A40" s="36"/>
      <c r="B40" s="49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44"/>
    </row>
    <row r="41" spans="1:16" ht="15">
      <c r="A41" s="36"/>
      <c r="B41" s="49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44"/>
    </row>
    <row r="42" spans="1:15" ht="15">
      <c r="A42" s="39" t="s">
        <v>39</v>
      </c>
      <c r="B42" s="40" t="s">
        <v>135</v>
      </c>
      <c r="C42" s="40"/>
      <c r="D42" s="40"/>
      <c r="E42" s="40"/>
      <c r="F42" s="40"/>
      <c r="G42" s="40"/>
      <c r="H42" s="40"/>
      <c r="I42" s="40"/>
      <c r="J42" s="40"/>
      <c r="K42" s="40"/>
      <c r="L42" s="70">
        <f>P25</f>
        <v>122512.50350000005</v>
      </c>
      <c r="M42" s="71"/>
      <c r="N42" s="71"/>
      <c r="O42" s="72"/>
    </row>
    <row r="43" spans="1:16" ht="15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5" ht="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2"/>
    </row>
    <row r="45" spans="2:16" ht="15">
      <c r="B45" s="43" t="s">
        <v>45</v>
      </c>
      <c r="C45" s="43"/>
      <c r="D45" s="43"/>
      <c r="E45" s="43"/>
      <c r="F45" s="43"/>
      <c r="G45" s="43"/>
      <c r="H45" s="43"/>
      <c r="I45" s="43"/>
      <c r="J45" s="43"/>
      <c r="K45" s="43"/>
      <c r="L45" s="43" t="s">
        <v>41</v>
      </c>
      <c r="M45" s="43"/>
      <c r="N45" s="43"/>
      <c r="O45" s="6"/>
      <c r="P45" s="3"/>
    </row>
  </sheetData>
  <sheetProtection/>
  <mergeCells count="28">
    <mergeCell ref="L33:O33"/>
    <mergeCell ref="L34:O34"/>
    <mergeCell ref="L35:O35"/>
    <mergeCell ref="L36:O36"/>
    <mergeCell ref="P12:P13"/>
    <mergeCell ref="I12:I13"/>
    <mergeCell ref="J12:K12"/>
    <mergeCell ref="L12:L13"/>
    <mergeCell ref="M12:N12"/>
    <mergeCell ref="O12:O13"/>
    <mergeCell ref="A1:O1"/>
    <mergeCell ref="A2:O2"/>
    <mergeCell ref="A12:A13"/>
    <mergeCell ref="D12:E12"/>
    <mergeCell ref="F12:F13"/>
    <mergeCell ref="G12:H12"/>
    <mergeCell ref="B12:B13"/>
    <mergeCell ref="C12:C13"/>
    <mergeCell ref="L37:O37"/>
    <mergeCell ref="L38:O38"/>
    <mergeCell ref="L39:O39"/>
    <mergeCell ref="L42:O42"/>
    <mergeCell ref="B29:K29"/>
    <mergeCell ref="L29:O29"/>
    <mergeCell ref="B30:K30"/>
    <mergeCell ref="L30:O30"/>
    <mergeCell ref="B32:K32"/>
    <mergeCell ref="L32:O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zoomScalePageLayoutView="0" workbookViewId="0" topLeftCell="A10">
      <selection activeCell="L56" sqref="L56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64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14488.2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2166.3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1.0056818622243404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7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798798.3400000001</v>
      </c>
      <c r="D14" s="20">
        <v>326232</v>
      </c>
      <c r="E14" s="21">
        <v>472566.34</v>
      </c>
      <c r="F14" s="19">
        <f>G14+H14</f>
        <v>2613344.12</v>
      </c>
      <c r="G14" s="20">
        <v>347803.4</v>
      </c>
      <c r="H14" s="21">
        <v>2265540.72</v>
      </c>
      <c r="I14" s="19">
        <f>J14+K14</f>
        <v>2595848.74</v>
      </c>
      <c r="J14" s="20">
        <v>295713.97</v>
      </c>
      <c r="K14" s="21">
        <v>2300134.77</v>
      </c>
      <c r="L14" s="19">
        <f>M14+N14</f>
        <v>816069.6000000001</v>
      </c>
      <c r="M14" s="20">
        <f>D14+G14-J14</f>
        <v>378321.43000000005</v>
      </c>
      <c r="N14" s="21">
        <v>437748.17000000004</v>
      </c>
      <c r="O14" s="22">
        <v>2874561.70805</v>
      </c>
      <c r="P14" s="62">
        <f>F14-O14</f>
        <v>-261217.5880499999</v>
      </c>
    </row>
    <row r="15" spans="1:16" ht="45">
      <c r="A15" s="17">
        <v>2</v>
      </c>
      <c r="B15" s="18" t="s">
        <v>17</v>
      </c>
      <c r="C15" s="19">
        <v>16592.7</v>
      </c>
      <c r="D15" s="20"/>
      <c r="E15" s="21">
        <v>16592.7</v>
      </c>
      <c r="F15" s="19">
        <f aca="true" t="shared" si="0" ref="F15:F24">G15+H15</f>
        <v>27538.48</v>
      </c>
      <c r="G15" s="20"/>
      <c r="H15" s="21">
        <v>27538.48</v>
      </c>
      <c r="I15" s="19">
        <f aca="true" t="shared" si="1" ref="I15:I24">J15+K15</f>
        <v>38328.09</v>
      </c>
      <c r="J15" s="20"/>
      <c r="K15" s="21">
        <v>38328.09</v>
      </c>
      <c r="L15" s="19">
        <v>5803.090000000004</v>
      </c>
      <c r="M15" s="20">
        <v>0</v>
      </c>
      <c r="N15" s="21">
        <v>5803.090000000004</v>
      </c>
      <c r="O15" s="22">
        <f>20159.97+7378.51</f>
        <v>27538.480000000003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108899.92</v>
      </c>
      <c r="D16" s="20"/>
      <c r="E16" s="21">
        <v>108899.92</v>
      </c>
      <c r="F16" s="19">
        <f t="shared" si="0"/>
        <v>643885.07</v>
      </c>
      <c r="G16" s="20"/>
      <c r="H16" s="21">
        <v>643885.07</v>
      </c>
      <c r="I16" s="19">
        <f t="shared" si="1"/>
        <v>640783.65</v>
      </c>
      <c r="J16" s="20"/>
      <c r="K16" s="21">
        <v>640783.65</v>
      </c>
      <c r="L16" s="19">
        <v>112001.33999999997</v>
      </c>
      <c r="M16" s="20">
        <v>0</v>
      </c>
      <c r="N16" s="21">
        <v>112001.33999999997</v>
      </c>
      <c r="O16" s="22">
        <v>623083.39685</v>
      </c>
      <c r="P16" s="65">
        <v>2801.6731499999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-1016.39</v>
      </c>
      <c r="M17" s="20">
        <v>0</v>
      </c>
      <c r="N17" s="21">
        <v>-1016.39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117318</v>
      </c>
      <c r="D18" s="20">
        <v>117318</v>
      </c>
      <c r="E18" s="21"/>
      <c r="F18" s="19">
        <f t="shared" si="0"/>
        <v>439140.81</v>
      </c>
      <c r="G18" s="24">
        <v>439140.81</v>
      </c>
      <c r="H18" s="21"/>
      <c r="I18" s="19">
        <f t="shared" si="1"/>
        <v>359703.47</v>
      </c>
      <c r="J18" s="20">
        <v>359703.47</v>
      </c>
      <c r="K18" s="21"/>
      <c r="L18" s="19">
        <f>M18+N18</f>
        <v>196755.34000000008</v>
      </c>
      <c r="M18" s="20">
        <f>D18+G18-J18</f>
        <v>196755.34000000008</v>
      </c>
      <c r="N18" s="21">
        <v>0</v>
      </c>
      <c r="O18" s="22">
        <v>439140.81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49925.29</v>
      </c>
      <c r="D22" s="20"/>
      <c r="E22" s="21">
        <v>49925.29</v>
      </c>
      <c r="F22" s="19">
        <f t="shared" si="0"/>
        <v>294477.08</v>
      </c>
      <c r="G22" s="20"/>
      <c r="H22" s="21">
        <v>294477.08</v>
      </c>
      <c r="I22" s="19">
        <f t="shared" si="1"/>
        <v>293710.58</v>
      </c>
      <c r="J22" s="20"/>
      <c r="K22" s="21">
        <v>293710.58</v>
      </c>
      <c r="L22" s="19">
        <v>50662.54999999998</v>
      </c>
      <c r="M22" s="20">
        <v>0</v>
      </c>
      <c r="N22" s="21">
        <v>50662.54999999998</v>
      </c>
      <c r="O22" s="22">
        <v>294477.08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175350</v>
      </c>
      <c r="G24" s="20">
        <f>28350+120000+36000*G11</f>
        <v>175350</v>
      </c>
      <c r="H24" s="21"/>
      <c r="I24" s="19">
        <f t="shared" si="1"/>
        <v>185350</v>
      </c>
      <c r="J24" s="20">
        <f>28350+130000+36000*J11</f>
        <v>185350</v>
      </c>
      <c r="K24" s="21"/>
      <c r="L24" s="19">
        <f>M24+N24</f>
        <v>-10000</v>
      </c>
      <c r="M24" s="20">
        <f>D24+G24-J24</f>
        <v>-10000</v>
      </c>
      <c r="N24" s="21">
        <v>0</v>
      </c>
      <c r="O24" s="22">
        <v>0</v>
      </c>
      <c r="P24" s="62">
        <f>F24-O24</f>
        <v>175350</v>
      </c>
    </row>
    <row r="25" spans="1:16" ht="15">
      <c r="A25" s="26"/>
      <c r="B25" s="27"/>
      <c r="C25" s="27">
        <v>1091534.25</v>
      </c>
      <c r="D25" s="27">
        <v>443550</v>
      </c>
      <c r="E25" s="28">
        <v>647984.2500000001</v>
      </c>
      <c r="F25" s="27">
        <f>SUM(F14:F24)</f>
        <v>4193735.56</v>
      </c>
      <c r="G25" s="27">
        <f>SUM(G14:G24)</f>
        <v>962294.21</v>
      </c>
      <c r="H25" s="28">
        <v>3231441.35</v>
      </c>
      <c r="I25" s="27">
        <f>SUM(I14:I24)</f>
        <v>4113724.5300000003</v>
      </c>
      <c r="J25" s="27">
        <f>SUM(J14:J24)</f>
        <v>840767.44</v>
      </c>
      <c r="K25" s="28">
        <v>3272957.09</v>
      </c>
      <c r="L25" s="27">
        <f>SUM(L14:L24)</f>
        <v>1170275.53</v>
      </c>
      <c r="M25" s="27">
        <f>SUM(M14:M24)</f>
        <v>565076.7700000001</v>
      </c>
      <c r="N25" s="28">
        <v>605198.76</v>
      </c>
      <c r="O25" s="27">
        <v>4251517.4949</v>
      </c>
      <c r="P25" s="27">
        <f>SUM(P14:P24)</f>
        <v>-83065.9149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94" t="s">
        <v>29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95"/>
      <c r="O31" s="95"/>
      <c r="P31" s="33"/>
    </row>
    <row r="32" spans="1:16" ht="15">
      <c r="A32" s="3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34"/>
      <c r="M32" s="34"/>
      <c r="N32" s="34"/>
      <c r="O32" s="34"/>
      <c r="P32" s="33"/>
    </row>
    <row r="33" spans="1:16" ht="15">
      <c r="A33" s="32"/>
      <c r="B33" s="91" t="s">
        <v>30</v>
      </c>
      <c r="C33" s="92"/>
      <c r="D33" s="92"/>
      <c r="E33" s="93"/>
      <c r="F33" s="58"/>
      <c r="G33" s="58"/>
      <c r="H33" s="58"/>
      <c r="I33" s="58"/>
      <c r="J33" s="58"/>
      <c r="K33" s="58"/>
      <c r="L33" s="34"/>
      <c r="M33" s="34"/>
      <c r="N33" s="34"/>
      <c r="O33" s="34"/>
      <c r="P33" s="33"/>
    </row>
    <row r="34" spans="1:16" ht="15">
      <c r="A34" s="32"/>
      <c r="B34" s="94" t="s">
        <v>31</v>
      </c>
      <c r="C34" s="94"/>
      <c r="D34" s="94"/>
      <c r="E34" s="94"/>
      <c r="F34" s="94"/>
      <c r="G34" s="94"/>
      <c r="H34" s="94"/>
      <c r="I34" s="94"/>
      <c r="J34" s="94"/>
      <c r="K34" s="94"/>
      <c r="L34" s="68"/>
      <c r="M34" s="68"/>
      <c r="N34" s="68"/>
      <c r="O34" s="68"/>
      <c r="P34" s="33"/>
    </row>
    <row r="35" spans="1:16" ht="15">
      <c r="A35" s="32"/>
      <c r="B35" s="91" t="s">
        <v>32</v>
      </c>
      <c r="C35" s="93"/>
      <c r="D35" s="58"/>
      <c r="E35" s="58"/>
      <c r="F35" s="58"/>
      <c r="G35" s="58"/>
      <c r="H35" s="58"/>
      <c r="I35" s="58"/>
      <c r="J35" s="58"/>
      <c r="K35" s="58"/>
      <c r="L35" s="68"/>
      <c r="M35" s="68"/>
      <c r="N35" s="68"/>
      <c r="O35" s="68"/>
      <c r="P35" s="33"/>
    </row>
    <row r="36" spans="1:16" ht="15">
      <c r="A36" s="32"/>
      <c r="B36" s="59"/>
      <c r="C36" s="61"/>
      <c r="D36" s="58"/>
      <c r="E36" s="58"/>
      <c r="F36" s="58"/>
      <c r="G36" s="58"/>
      <c r="H36" s="58"/>
      <c r="I36" s="58"/>
      <c r="J36" s="58"/>
      <c r="K36" s="58"/>
      <c r="L36" s="54"/>
      <c r="M36" s="54"/>
      <c r="N36" s="54"/>
      <c r="O36" s="54"/>
      <c r="P36" s="33"/>
    </row>
    <row r="37" spans="1:16" ht="15">
      <c r="A37" s="32">
        <v>2</v>
      </c>
      <c r="B37" s="75" t="s">
        <v>33</v>
      </c>
      <c r="C37" s="75"/>
      <c r="D37" s="75"/>
      <c r="E37" s="75"/>
      <c r="F37" s="75"/>
      <c r="G37" s="75"/>
      <c r="H37" s="75"/>
      <c r="I37" s="75"/>
      <c r="J37" s="75"/>
      <c r="K37" s="75"/>
      <c r="L37" s="76">
        <v>920328.0099999999</v>
      </c>
      <c r="M37" s="77"/>
      <c r="N37" s="77"/>
      <c r="O37" s="78"/>
      <c r="P37" s="31"/>
    </row>
    <row r="38" spans="1:16" ht="15">
      <c r="A38" s="35" t="s">
        <v>34</v>
      </c>
      <c r="B38" s="59" t="s">
        <v>112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12884.88</v>
      </c>
      <c r="M38" s="68"/>
      <c r="N38" s="68"/>
      <c r="O38" s="68"/>
      <c r="P38" s="31"/>
    </row>
    <row r="39" spans="1:16" ht="15">
      <c r="A39" s="35" t="s">
        <v>34</v>
      </c>
      <c r="B39" s="59" t="s">
        <v>87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205552.44</v>
      </c>
      <c r="M39" s="68"/>
      <c r="N39" s="68"/>
      <c r="O39" s="68"/>
      <c r="P39" s="31"/>
    </row>
    <row r="40" spans="1:16" ht="15">
      <c r="A40" s="35" t="s">
        <v>34</v>
      </c>
      <c r="B40" s="59" t="s">
        <v>87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86399.87</v>
      </c>
      <c r="M40" s="68"/>
      <c r="N40" s="68"/>
      <c r="O40" s="68"/>
      <c r="P40" s="31"/>
    </row>
    <row r="41" spans="1:16" ht="15">
      <c r="A41" s="35" t="s">
        <v>34</v>
      </c>
      <c r="B41" s="59" t="s">
        <v>87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112559.08</v>
      </c>
      <c r="M41" s="68"/>
      <c r="N41" s="68"/>
      <c r="O41" s="68"/>
      <c r="P41" s="31"/>
    </row>
    <row r="42" spans="1:16" ht="15">
      <c r="A42" s="35" t="s">
        <v>34</v>
      </c>
      <c r="B42" s="59" t="s">
        <v>82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56175.43</v>
      </c>
      <c r="M42" s="68"/>
      <c r="N42" s="68"/>
      <c r="O42" s="68"/>
      <c r="P42" s="31"/>
    </row>
    <row r="43" spans="1:16" ht="15">
      <c r="A43" s="35" t="s">
        <v>34</v>
      </c>
      <c r="B43" s="59" t="s">
        <v>82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155000</v>
      </c>
      <c r="M43" s="68"/>
      <c r="N43" s="68"/>
      <c r="O43" s="68"/>
      <c r="P43" s="31"/>
    </row>
    <row r="44" spans="1:16" ht="15">
      <c r="A44" s="35" t="s">
        <v>34</v>
      </c>
      <c r="B44" s="59" t="s">
        <v>113</v>
      </c>
      <c r="C44" s="60"/>
      <c r="D44" s="61"/>
      <c r="E44" s="58"/>
      <c r="F44" s="58"/>
      <c r="G44" s="58"/>
      <c r="H44" s="58"/>
      <c r="I44" s="58"/>
      <c r="J44" s="58"/>
      <c r="K44" s="58"/>
      <c r="L44" s="68">
        <v>221386.96</v>
      </c>
      <c r="M44" s="68"/>
      <c r="N44" s="68"/>
      <c r="O44" s="68"/>
      <c r="P44" s="31"/>
    </row>
    <row r="45" spans="1:16" ht="15">
      <c r="A45" s="35" t="s">
        <v>34</v>
      </c>
      <c r="B45" s="59" t="s">
        <v>114</v>
      </c>
      <c r="C45" s="60"/>
      <c r="D45" s="61"/>
      <c r="E45" s="58"/>
      <c r="F45" s="58"/>
      <c r="G45" s="58"/>
      <c r="H45" s="58"/>
      <c r="I45" s="58"/>
      <c r="J45" s="58"/>
      <c r="K45" s="58"/>
      <c r="L45" s="68">
        <v>11200</v>
      </c>
      <c r="M45" s="68"/>
      <c r="N45" s="68"/>
      <c r="O45" s="68"/>
      <c r="P45" s="31"/>
    </row>
    <row r="46" spans="1:16" ht="15">
      <c r="A46" s="35" t="s">
        <v>34</v>
      </c>
      <c r="B46" s="59" t="s">
        <v>35</v>
      </c>
      <c r="C46" s="60"/>
      <c r="D46" s="61"/>
      <c r="E46" s="58"/>
      <c r="F46" s="58"/>
      <c r="G46" s="58"/>
      <c r="H46" s="58"/>
      <c r="I46" s="58"/>
      <c r="J46" s="58"/>
      <c r="K46" s="58"/>
      <c r="L46" s="68">
        <v>2132.9</v>
      </c>
      <c r="M46" s="68"/>
      <c r="N46" s="68"/>
      <c r="O46" s="68"/>
      <c r="P46" s="31"/>
    </row>
    <row r="47" spans="1:16" ht="15">
      <c r="A47" s="35" t="s">
        <v>34</v>
      </c>
      <c r="B47" s="59" t="s">
        <v>37</v>
      </c>
      <c r="C47" s="60"/>
      <c r="D47" s="61"/>
      <c r="E47" s="58"/>
      <c r="F47" s="58"/>
      <c r="G47" s="58"/>
      <c r="H47" s="58"/>
      <c r="I47" s="58"/>
      <c r="J47" s="58"/>
      <c r="K47" s="58"/>
      <c r="L47" s="68">
        <v>21328.7</v>
      </c>
      <c r="M47" s="68"/>
      <c r="N47" s="68"/>
      <c r="O47" s="68"/>
      <c r="P47" s="31"/>
    </row>
    <row r="48" spans="1:16" ht="15">
      <c r="A48" s="35" t="s">
        <v>34</v>
      </c>
      <c r="B48" s="59" t="s">
        <v>37</v>
      </c>
      <c r="C48" s="60"/>
      <c r="D48" s="61"/>
      <c r="E48" s="58"/>
      <c r="F48" s="58"/>
      <c r="G48" s="58"/>
      <c r="H48" s="58"/>
      <c r="I48" s="58"/>
      <c r="J48" s="58"/>
      <c r="K48" s="58"/>
      <c r="L48" s="68">
        <v>11368.07</v>
      </c>
      <c r="M48" s="68"/>
      <c r="N48" s="68"/>
      <c r="O48" s="68"/>
      <c r="P48" s="31"/>
    </row>
    <row r="49" spans="1:16" ht="15">
      <c r="A49" s="35" t="s">
        <v>34</v>
      </c>
      <c r="B49" s="59" t="s">
        <v>79</v>
      </c>
      <c r="C49" s="60"/>
      <c r="D49" s="61"/>
      <c r="E49" s="58"/>
      <c r="F49" s="58"/>
      <c r="G49" s="58"/>
      <c r="H49" s="58"/>
      <c r="I49" s="58"/>
      <c r="J49" s="58"/>
      <c r="K49" s="58"/>
      <c r="L49" s="68">
        <v>1364.73</v>
      </c>
      <c r="M49" s="68"/>
      <c r="N49" s="68"/>
      <c r="O49" s="68"/>
      <c r="P49" s="31"/>
    </row>
    <row r="50" spans="1:16" ht="15">
      <c r="A50" s="35" t="s">
        <v>34</v>
      </c>
      <c r="B50" s="59" t="s">
        <v>145</v>
      </c>
      <c r="C50" s="60"/>
      <c r="D50" s="61"/>
      <c r="E50" s="58"/>
      <c r="F50" s="58"/>
      <c r="G50" s="58"/>
      <c r="H50" s="58"/>
      <c r="I50" s="58"/>
      <c r="J50" s="58"/>
      <c r="K50" s="58"/>
      <c r="L50" s="68">
        <v>21084.54</v>
      </c>
      <c r="M50" s="68"/>
      <c r="N50" s="68"/>
      <c r="O50" s="68"/>
      <c r="P50" s="31"/>
    </row>
    <row r="51" spans="1:16" ht="15">
      <c r="A51" s="35" t="s">
        <v>34</v>
      </c>
      <c r="B51" s="59" t="s">
        <v>79</v>
      </c>
      <c r="C51" s="60"/>
      <c r="D51" s="61"/>
      <c r="E51" s="58"/>
      <c r="F51" s="58"/>
      <c r="G51" s="58"/>
      <c r="H51" s="58"/>
      <c r="I51" s="58"/>
      <c r="J51" s="58"/>
      <c r="K51" s="58"/>
      <c r="L51" s="68">
        <v>960</v>
      </c>
      <c r="M51" s="68"/>
      <c r="N51" s="68"/>
      <c r="O51" s="68"/>
      <c r="P51" s="31"/>
    </row>
    <row r="52" spans="1:16" ht="15">
      <c r="A52" s="35" t="s">
        <v>34</v>
      </c>
      <c r="B52" s="59" t="s">
        <v>38</v>
      </c>
      <c r="C52" s="60"/>
      <c r="D52" s="61"/>
      <c r="E52" s="58"/>
      <c r="F52" s="58"/>
      <c r="G52" s="58"/>
      <c r="H52" s="58"/>
      <c r="I52" s="58"/>
      <c r="J52" s="58"/>
      <c r="K52" s="58"/>
      <c r="L52" s="68">
        <v>930.41</v>
      </c>
      <c r="M52" s="68"/>
      <c r="N52" s="68"/>
      <c r="O52" s="68"/>
      <c r="P52" s="31"/>
    </row>
    <row r="53" spans="1:16" ht="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69"/>
      <c r="M53" s="69"/>
      <c r="N53" s="69"/>
      <c r="O53" s="69"/>
      <c r="P53" s="44"/>
    </row>
    <row r="54" spans="1:16" ht="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38"/>
      <c r="N54" s="38"/>
      <c r="O54" s="38"/>
      <c r="P54" s="44"/>
    </row>
    <row r="55" spans="1:15" ht="15">
      <c r="A55" s="39" t="s">
        <v>39</v>
      </c>
      <c r="B55" s="40" t="s">
        <v>135</v>
      </c>
      <c r="C55" s="40"/>
      <c r="D55" s="40"/>
      <c r="E55" s="40"/>
      <c r="F55" s="40"/>
      <c r="G55" s="40"/>
      <c r="H55" s="40"/>
      <c r="I55" s="40"/>
      <c r="J55" s="40"/>
      <c r="K55" s="40"/>
      <c r="L55" s="70">
        <f>P25</f>
        <v>-83065.9149</v>
      </c>
      <c r="M55" s="71"/>
      <c r="N55" s="71"/>
      <c r="O55" s="72"/>
    </row>
    <row r="56" spans="1:16" ht="15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5" ht="1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O57" s="42"/>
    </row>
    <row r="58" spans="2:16" ht="15">
      <c r="B58" s="43" t="s">
        <v>45</v>
      </c>
      <c r="C58" s="43"/>
      <c r="D58" s="43"/>
      <c r="E58" s="43"/>
      <c r="F58" s="43"/>
      <c r="G58" s="43"/>
      <c r="H58" s="43"/>
      <c r="I58" s="43"/>
      <c r="J58" s="43"/>
      <c r="K58" s="43"/>
      <c r="L58" s="43" t="s">
        <v>41</v>
      </c>
      <c r="M58" s="43"/>
      <c r="N58" s="43"/>
      <c r="O58" s="6"/>
      <c r="P58" s="3"/>
    </row>
  </sheetData>
  <sheetProtection/>
  <mergeCells count="44">
    <mergeCell ref="M12:N12"/>
    <mergeCell ref="O12:O13"/>
    <mergeCell ref="A1:O1"/>
    <mergeCell ref="A2:O2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1:K31"/>
    <mergeCell ref="L31:O31"/>
    <mergeCell ref="G12:H12"/>
    <mergeCell ref="I12:I13"/>
    <mergeCell ref="J12:K12"/>
    <mergeCell ref="L12:L13"/>
    <mergeCell ref="B33:E33"/>
    <mergeCell ref="B34:K34"/>
    <mergeCell ref="L34:O34"/>
    <mergeCell ref="B35:C35"/>
    <mergeCell ref="L35:O35"/>
    <mergeCell ref="B37:K37"/>
    <mergeCell ref="L37:O37"/>
    <mergeCell ref="L48:O48"/>
    <mergeCell ref="L49:O49"/>
    <mergeCell ref="L38:O38"/>
    <mergeCell ref="L39:O39"/>
    <mergeCell ref="L40:O40"/>
    <mergeCell ref="L41:O41"/>
    <mergeCell ref="L42:O42"/>
    <mergeCell ref="L43:O43"/>
    <mergeCell ref="L50:O50"/>
    <mergeCell ref="L51:O51"/>
    <mergeCell ref="L52:O52"/>
    <mergeCell ref="L53:O53"/>
    <mergeCell ref="L55:O55"/>
    <mergeCell ref="L29:O29"/>
    <mergeCell ref="L44:O44"/>
    <mergeCell ref="L45:O45"/>
    <mergeCell ref="L46:O46"/>
    <mergeCell ref="L47:O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0">
      <selection activeCell="L38" sqref="L38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65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1556.6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0.996381919175731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7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86026.86</v>
      </c>
      <c r="D14" s="20"/>
      <c r="E14" s="21">
        <v>86026.86</v>
      </c>
      <c r="F14" s="19">
        <v>234237.36</v>
      </c>
      <c r="G14" s="20"/>
      <c r="H14" s="21">
        <v>234237.36</v>
      </c>
      <c r="I14" s="19">
        <v>233700.1</v>
      </c>
      <c r="J14" s="20"/>
      <c r="K14" s="21">
        <v>233700.1</v>
      </c>
      <c r="L14" s="19">
        <v>86863.11999999997</v>
      </c>
      <c r="M14" s="20">
        <v>299</v>
      </c>
      <c r="N14" s="21">
        <v>86564.11999999997</v>
      </c>
      <c r="O14" s="22">
        <v>207406.5181</v>
      </c>
      <c r="P14" s="62">
        <f>F14-O14</f>
        <v>26830.8419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482.82</v>
      </c>
      <c r="D15" s="20"/>
      <c r="E15" s="21">
        <v>482.82</v>
      </c>
      <c r="F15" s="19">
        <v>817.96</v>
      </c>
      <c r="G15" s="20"/>
      <c r="H15" s="21">
        <v>817.96</v>
      </c>
      <c r="I15" s="19">
        <v>996.79</v>
      </c>
      <c r="J15" s="20"/>
      <c r="K15" s="21">
        <v>996.79</v>
      </c>
      <c r="L15" s="19">
        <v>303.99</v>
      </c>
      <c r="M15" s="20">
        <v>0</v>
      </c>
      <c r="N15" s="21">
        <v>303.99</v>
      </c>
      <c r="O15" s="22">
        <f>626.99+190.97</f>
        <v>817.96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10716.939999999999</v>
      </c>
      <c r="D22" s="20"/>
      <c r="E22" s="21">
        <v>10716.939999999999</v>
      </c>
      <c r="F22" s="19">
        <v>31754.64</v>
      </c>
      <c r="G22" s="20"/>
      <c r="H22" s="21">
        <v>31754.64</v>
      </c>
      <c r="I22" s="19">
        <v>31147.73</v>
      </c>
      <c r="J22" s="20"/>
      <c r="K22" s="21">
        <v>31147.73</v>
      </c>
      <c r="L22" s="19">
        <v>11323.850000000002</v>
      </c>
      <c r="M22" s="20">
        <v>0</v>
      </c>
      <c r="N22" s="21">
        <v>11323.850000000002</v>
      </c>
      <c r="O22" s="22">
        <v>31754.64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v>0</v>
      </c>
      <c r="G24" s="20"/>
      <c r="H24" s="21"/>
      <c r="I24" s="19">
        <v>0</v>
      </c>
      <c r="J24" s="20"/>
      <c r="K24" s="21"/>
      <c r="L24" s="19">
        <v>0</v>
      </c>
      <c r="M24" s="20">
        <v>0</v>
      </c>
      <c r="N24" s="21">
        <v>0</v>
      </c>
      <c r="O24" s="22">
        <v>0</v>
      </c>
      <c r="P24" s="62">
        <v>0</v>
      </c>
    </row>
    <row r="25" spans="1:16" ht="15">
      <c r="A25" s="26"/>
      <c r="B25" s="27"/>
      <c r="C25" s="27">
        <f>SUM(C14:C24)</f>
        <v>97226.62000000001</v>
      </c>
      <c r="D25" s="27"/>
      <c r="E25" s="28">
        <v>97226.62000000001</v>
      </c>
      <c r="F25" s="27">
        <v>266809.95999999996</v>
      </c>
      <c r="G25" s="27">
        <v>0</v>
      </c>
      <c r="H25" s="27">
        <v>266809.95999999996</v>
      </c>
      <c r="I25" s="27">
        <v>265844.62</v>
      </c>
      <c r="J25" s="27">
        <v>0</v>
      </c>
      <c r="K25" s="27">
        <v>265844.62</v>
      </c>
      <c r="L25" s="27">
        <v>98490.95999999998</v>
      </c>
      <c r="M25" s="27">
        <v>299</v>
      </c>
      <c r="N25" s="28">
        <v>98191.95999999998</v>
      </c>
      <c r="O25" s="27">
        <f>SUM(O14:O24)</f>
        <v>239979.11809999996</v>
      </c>
      <c r="P25" s="27">
        <f>SUM(P14:P24)</f>
        <v>26830.8419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33464</v>
      </c>
      <c r="M32" s="77"/>
      <c r="N32" s="77"/>
      <c r="O32" s="78"/>
      <c r="P32" s="31"/>
    </row>
    <row r="33" spans="1:16" ht="15">
      <c r="A33" s="35" t="s">
        <v>34</v>
      </c>
      <c r="B33" s="58" t="s">
        <v>115</v>
      </c>
      <c r="C33" s="60"/>
      <c r="D33" s="61"/>
      <c r="E33" s="58"/>
      <c r="F33" s="58"/>
      <c r="G33" s="58"/>
      <c r="H33" s="58"/>
      <c r="I33" s="58"/>
      <c r="J33" s="58"/>
      <c r="K33" s="58"/>
      <c r="L33" s="74">
        <v>33464</v>
      </c>
      <c r="M33" s="74"/>
      <c r="N33" s="74"/>
      <c r="O33" s="74"/>
      <c r="P33" s="31"/>
    </row>
    <row r="34" spans="1:16" ht="15">
      <c r="A34" s="35"/>
      <c r="B34" s="58"/>
      <c r="C34" s="60"/>
      <c r="D34" s="61"/>
      <c r="E34" s="58"/>
      <c r="F34" s="58"/>
      <c r="G34" s="58"/>
      <c r="H34" s="58"/>
      <c r="I34" s="58"/>
      <c r="J34" s="58"/>
      <c r="K34" s="58"/>
      <c r="L34" s="74"/>
      <c r="M34" s="74"/>
      <c r="N34" s="74"/>
      <c r="O34" s="74"/>
      <c r="P34" s="31"/>
    </row>
    <row r="35" spans="1:16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9"/>
      <c r="M35" s="69"/>
      <c r="N35" s="69"/>
      <c r="O35" s="69"/>
      <c r="P35" s="44"/>
    </row>
    <row r="36" spans="1:16" ht="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44"/>
    </row>
    <row r="37" spans="1:15" ht="15">
      <c r="A37" s="39" t="s">
        <v>39</v>
      </c>
      <c r="B37" s="40" t="s">
        <v>139</v>
      </c>
      <c r="C37" s="40"/>
      <c r="D37" s="40"/>
      <c r="E37" s="40"/>
      <c r="F37" s="40"/>
      <c r="G37" s="40"/>
      <c r="H37" s="40"/>
      <c r="I37" s="40"/>
      <c r="J37" s="40"/>
      <c r="K37" s="40"/>
      <c r="L37" s="70">
        <f>P25</f>
        <v>26830.8419</v>
      </c>
      <c r="M37" s="71"/>
      <c r="N37" s="71"/>
      <c r="O37" s="72"/>
    </row>
    <row r="38" spans="1:16" ht="15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5" ht="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2"/>
    </row>
    <row r="40" spans="2:16" ht="15">
      <c r="B40" s="43" t="s">
        <v>45</v>
      </c>
      <c r="C40" s="43"/>
      <c r="D40" s="43"/>
      <c r="E40" s="43"/>
      <c r="F40" s="43"/>
      <c r="G40" s="43"/>
      <c r="H40" s="43"/>
      <c r="I40" s="43"/>
      <c r="J40" s="43"/>
      <c r="K40" s="43"/>
      <c r="L40" s="43" t="s">
        <v>41</v>
      </c>
      <c r="M40" s="43"/>
      <c r="N40" s="43"/>
      <c r="O40" s="6"/>
      <c r="P40" s="3"/>
    </row>
  </sheetData>
  <sheetProtection/>
  <mergeCells count="24">
    <mergeCell ref="A1:O1"/>
    <mergeCell ref="A2:O2"/>
    <mergeCell ref="A12:A13"/>
    <mergeCell ref="B12:B13"/>
    <mergeCell ref="C12:C13"/>
    <mergeCell ref="D12:E12"/>
    <mergeCell ref="F12:F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M12:N12"/>
    <mergeCell ref="L33:O33"/>
    <mergeCell ref="L34:O34"/>
    <mergeCell ref="L35:O35"/>
    <mergeCell ref="L37:O37"/>
    <mergeCell ref="L29:O29"/>
    <mergeCell ref="P12:P13"/>
    <mergeCell ref="O12:O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7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3.710937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47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668.9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1.0943976385323766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4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42348.42</v>
      </c>
      <c r="D14" s="20"/>
      <c r="E14" s="21">
        <v>42348.42</v>
      </c>
      <c r="F14" s="19">
        <f>G14+H14</f>
        <v>100656.23999999999</v>
      </c>
      <c r="G14" s="20"/>
      <c r="H14" s="21">
        <v>100656.23999999999</v>
      </c>
      <c r="I14" s="19">
        <v>110178.61</v>
      </c>
      <c r="J14" s="20"/>
      <c r="K14" s="21">
        <v>110178.61</v>
      </c>
      <c r="L14" s="19">
        <v>32955.049999999974</v>
      </c>
      <c r="M14" s="20">
        <v>129</v>
      </c>
      <c r="N14" s="21">
        <v>32826.049999999974</v>
      </c>
      <c r="O14" s="22">
        <v>117808.82565000001</v>
      </c>
      <c r="P14" s="62">
        <f>F14-O14</f>
        <v>-17152.585650000023</v>
      </c>
    </row>
    <row r="15" spans="1:16" ht="60">
      <c r="A15" s="17">
        <v>2</v>
      </c>
      <c r="B15" s="18" t="s">
        <v>17</v>
      </c>
      <c r="C15" s="19">
        <f aca="true" t="shared" si="0" ref="C15:C24">D15+E15</f>
        <v>0</v>
      </c>
      <c r="D15" s="20"/>
      <c r="E15" s="21"/>
      <c r="F15" s="19">
        <v>0</v>
      </c>
      <c r="G15" s="20"/>
      <c r="H15" s="21"/>
      <c r="I15" s="19">
        <v>0</v>
      </c>
      <c r="J15" s="20"/>
      <c r="K15" s="21"/>
      <c r="L15" s="19">
        <v>0</v>
      </c>
      <c r="M15" s="20">
        <v>0</v>
      </c>
      <c r="N15" s="21">
        <v>0</v>
      </c>
      <c r="O15" s="22">
        <v>0</v>
      </c>
      <c r="P15" s="62">
        <v>0</v>
      </c>
    </row>
    <row r="16" spans="1:16" ht="15">
      <c r="A16" s="17">
        <v>3</v>
      </c>
      <c r="B16" s="18" t="s">
        <v>18</v>
      </c>
      <c r="C16" s="19">
        <f t="shared" si="0"/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5717.54</v>
      </c>
      <c r="D22" s="20"/>
      <c r="E22" s="21">
        <v>5717.54</v>
      </c>
      <c r="F22" s="19">
        <v>13645.56</v>
      </c>
      <c r="G22" s="20"/>
      <c r="H22" s="21">
        <v>13645.56</v>
      </c>
      <c r="I22" s="19">
        <v>14913.01</v>
      </c>
      <c r="J22" s="20"/>
      <c r="K22" s="21">
        <v>14913.01</v>
      </c>
      <c r="L22" s="19">
        <v>4450.089999999998</v>
      </c>
      <c r="M22" s="20">
        <v>0</v>
      </c>
      <c r="N22" s="21">
        <v>4450.089999999998</v>
      </c>
      <c r="O22" s="22">
        <v>13645.56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v>0</v>
      </c>
      <c r="G24" s="20"/>
      <c r="H24" s="21"/>
      <c r="I24" s="19">
        <v>0</v>
      </c>
      <c r="J24" s="20"/>
      <c r="K24" s="21"/>
      <c r="L24" s="19">
        <v>0</v>
      </c>
      <c r="M24" s="20"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f>SUM(C14:C24)</f>
        <v>48065.96</v>
      </c>
      <c r="D25" s="27"/>
      <c r="E25" s="28">
        <v>48065.96</v>
      </c>
      <c r="F25" s="27">
        <v>114301.79999999999</v>
      </c>
      <c r="G25" s="27">
        <v>0</v>
      </c>
      <c r="H25" s="28">
        <v>114301.79999999999</v>
      </c>
      <c r="I25" s="27">
        <v>125091.62</v>
      </c>
      <c r="J25" s="27">
        <v>0</v>
      </c>
      <c r="K25" s="28">
        <v>125091.62</v>
      </c>
      <c r="L25" s="27">
        <v>37405.13999999997</v>
      </c>
      <c r="M25" s="27">
        <v>129</v>
      </c>
      <c r="N25" s="28">
        <v>37276.13999999997</v>
      </c>
      <c r="O25" s="27">
        <v>131454.38565</v>
      </c>
      <c r="P25" s="27">
        <f>SUM(P14:P24)</f>
        <v>-17152.585650000023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37572.43</v>
      </c>
      <c r="M32" s="77"/>
      <c r="N32" s="77"/>
      <c r="O32" s="78"/>
      <c r="P32" s="31"/>
    </row>
    <row r="33" spans="1:16" ht="15">
      <c r="A33" s="35" t="s">
        <v>34</v>
      </c>
      <c r="B33" s="59" t="s">
        <v>82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21961</v>
      </c>
      <c r="M33" s="68"/>
      <c r="N33" s="68"/>
      <c r="O33" s="68"/>
      <c r="P33" s="31"/>
    </row>
    <row r="34" spans="1:16" ht="15">
      <c r="A34" s="35" t="s">
        <v>34</v>
      </c>
      <c r="B34" s="59" t="s">
        <v>83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1500</v>
      </c>
      <c r="M34" s="68"/>
      <c r="N34" s="68"/>
      <c r="O34" s="68"/>
      <c r="P34" s="31"/>
    </row>
    <row r="35" spans="1:16" ht="15">
      <c r="A35" s="35" t="s">
        <v>34</v>
      </c>
      <c r="B35" s="59" t="s">
        <v>134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14000</v>
      </c>
      <c r="M35" s="68"/>
      <c r="N35" s="68"/>
      <c r="O35" s="68"/>
      <c r="P35" s="31"/>
    </row>
    <row r="36" spans="1:16" ht="15">
      <c r="A36" s="35" t="s">
        <v>34</v>
      </c>
      <c r="B36" s="59" t="s">
        <v>38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111.43</v>
      </c>
      <c r="M36" s="68"/>
      <c r="N36" s="68"/>
      <c r="O36" s="68"/>
      <c r="P36" s="44"/>
    </row>
    <row r="37" spans="1:16" ht="15">
      <c r="A37" s="35"/>
      <c r="B37" s="59"/>
      <c r="C37" s="60"/>
      <c r="D37" s="61"/>
      <c r="E37" s="58"/>
      <c r="F37" s="58"/>
      <c r="G37" s="58"/>
      <c r="H37" s="58"/>
      <c r="I37" s="58"/>
      <c r="J37" s="58"/>
      <c r="K37" s="58"/>
      <c r="L37" s="74"/>
      <c r="M37" s="74"/>
      <c r="N37" s="74"/>
      <c r="O37" s="74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-17152.585650000023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P12:P13"/>
    <mergeCell ref="B29:K29"/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L36:O36"/>
    <mergeCell ref="B30:K30"/>
    <mergeCell ref="L30:O30"/>
    <mergeCell ref="L29:O29"/>
    <mergeCell ref="L37:O37"/>
    <mergeCell ref="L38:O38"/>
    <mergeCell ref="L40:O40"/>
    <mergeCell ref="B32:K32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A7">
      <selection activeCell="L44" sqref="L44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8515625" style="2" customWidth="1" outlineLevel="1"/>
    <col min="5" max="5" width="14.0039062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66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8818.94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40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1.0080801284946836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40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309395.47</v>
      </c>
      <c r="D14" s="20">
        <v>3773</v>
      </c>
      <c r="E14" s="21">
        <v>305622.47</v>
      </c>
      <c r="F14" s="19">
        <f>G14+H14</f>
        <v>1385343.79</v>
      </c>
      <c r="G14" s="20">
        <v>6240</v>
      </c>
      <c r="H14" s="21">
        <v>1379103.79</v>
      </c>
      <c r="I14" s="19">
        <f>J14+K14</f>
        <v>1394701.7599999998</v>
      </c>
      <c r="J14" s="20">
        <v>7280</v>
      </c>
      <c r="K14" s="21">
        <v>1387421.7599999998</v>
      </c>
      <c r="L14" s="19">
        <f>M14+N14</f>
        <v>298892.13000000024</v>
      </c>
      <c r="M14" s="20">
        <f>D14+G14-J14</f>
        <v>2733</v>
      </c>
      <c r="N14" s="21">
        <v>296159.13000000024</v>
      </c>
      <c r="O14" s="22">
        <v>1515579.09615</v>
      </c>
      <c r="P14" s="62">
        <f>F14-O14</f>
        <v>-130235.30615000008</v>
      </c>
    </row>
    <row r="15" spans="1:16" ht="45">
      <c r="A15" s="17">
        <v>2</v>
      </c>
      <c r="B15" s="18" t="s">
        <v>17</v>
      </c>
      <c r="C15" s="19">
        <v>10547.4</v>
      </c>
      <c r="D15" s="20"/>
      <c r="E15" s="21">
        <v>10547.4</v>
      </c>
      <c r="F15" s="19">
        <v>22416.12</v>
      </c>
      <c r="G15" s="20"/>
      <c r="H15" s="21">
        <v>22416.12</v>
      </c>
      <c r="I15" s="19">
        <v>29092.21</v>
      </c>
      <c r="J15" s="20"/>
      <c r="K15" s="21">
        <v>29092.21</v>
      </c>
      <c r="L15" s="19">
        <v>3871.3099999999977</v>
      </c>
      <c r="M15" s="20">
        <v>0</v>
      </c>
      <c r="N15" s="21">
        <v>3871.3099999999977</v>
      </c>
      <c r="O15" s="22">
        <f>16962.5+5453.62</f>
        <v>22416.12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75846.3</v>
      </c>
      <c r="D16" s="20"/>
      <c r="E16" s="21">
        <v>75846.3</v>
      </c>
      <c r="F16" s="19">
        <v>394785.5</v>
      </c>
      <c r="G16" s="20"/>
      <c r="H16" s="21">
        <v>394785.5</v>
      </c>
      <c r="I16" s="19">
        <v>392212.57</v>
      </c>
      <c r="J16" s="20"/>
      <c r="K16" s="21">
        <v>392212.57</v>
      </c>
      <c r="L16" s="19">
        <v>78419.22999999998</v>
      </c>
      <c r="M16" s="20">
        <v>0</v>
      </c>
      <c r="N16" s="21">
        <v>78419.22999999998</v>
      </c>
      <c r="O16" s="22">
        <v>346190.88425</v>
      </c>
      <c r="P16" s="65">
        <v>4594.61575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-1028.35</v>
      </c>
      <c r="M17" s="20">
        <v>0</v>
      </c>
      <c r="N17" s="21">
        <v>-1028.35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2045</v>
      </c>
      <c r="D18" s="20">
        <v>2045</v>
      </c>
      <c r="E18" s="21"/>
      <c r="F18" s="19">
        <v>9796.29</v>
      </c>
      <c r="G18" s="24">
        <v>9796.29</v>
      </c>
      <c r="H18" s="21"/>
      <c r="I18" s="19">
        <v>12975.89</v>
      </c>
      <c r="J18" s="20">
        <v>11861.97</v>
      </c>
      <c r="K18" s="21"/>
      <c r="L18" s="19">
        <f>M18+N18</f>
        <v>-20.679999999998472</v>
      </c>
      <c r="M18" s="20">
        <f>D18+G18-J18</f>
        <v>-20.679999999998472</v>
      </c>
      <c r="N18" s="21">
        <v>0</v>
      </c>
      <c r="O18" s="22">
        <v>9796.29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34477.52</v>
      </c>
      <c r="D22" s="20"/>
      <c r="E22" s="21">
        <v>34477.52</v>
      </c>
      <c r="F22" s="19">
        <v>179929.01</v>
      </c>
      <c r="G22" s="20"/>
      <c r="H22" s="21">
        <v>179929.01</v>
      </c>
      <c r="I22" s="19">
        <v>179516.35</v>
      </c>
      <c r="J22" s="20"/>
      <c r="K22" s="21">
        <v>179516.35</v>
      </c>
      <c r="L22" s="19">
        <v>34747.28999999999</v>
      </c>
      <c r="M22" s="20">
        <v>0</v>
      </c>
      <c r="N22" s="21">
        <v>34747.28999999999</v>
      </c>
      <c r="O22" s="22">
        <v>179929.01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13500</v>
      </c>
      <c r="G24" s="20">
        <f>18000*G11</f>
        <v>13500</v>
      </c>
      <c r="H24" s="21"/>
      <c r="I24" s="19">
        <f>J24+K24</f>
        <v>13500</v>
      </c>
      <c r="J24" s="20">
        <f>18000*J11</f>
        <v>13500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13500</v>
      </c>
    </row>
    <row r="25" spans="1:16" ht="15">
      <c r="A25" s="26"/>
      <c r="B25" s="27"/>
      <c r="C25" s="27">
        <v>432311.69</v>
      </c>
      <c r="D25" s="27">
        <v>5818</v>
      </c>
      <c r="E25" s="28">
        <v>426493.69</v>
      </c>
      <c r="F25" s="27">
        <f>SUM(F14:F24)</f>
        <v>2005770.7100000002</v>
      </c>
      <c r="G25" s="27">
        <f>SUM(G14:G24)</f>
        <v>29536.29</v>
      </c>
      <c r="H25" s="28">
        <v>1976234.4200000002</v>
      </c>
      <c r="I25" s="27">
        <v>2030468.7799999998</v>
      </c>
      <c r="J25" s="27">
        <v>42225.89</v>
      </c>
      <c r="K25" s="28">
        <v>1988242.89</v>
      </c>
      <c r="L25" s="27">
        <v>413720.13500000024</v>
      </c>
      <c r="M25" s="27">
        <v>1551.5250000000015</v>
      </c>
      <c r="N25" s="28">
        <v>412168.6100000002</v>
      </c>
      <c r="O25" s="27">
        <v>2069654.5804000003</v>
      </c>
      <c r="P25" s="27">
        <v>-55460.74540000009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455498.45999999996</v>
      </c>
      <c r="M32" s="77"/>
      <c r="N32" s="77"/>
      <c r="O32" s="78"/>
      <c r="P32" s="31"/>
    </row>
    <row r="33" spans="1:16" ht="15">
      <c r="A33" s="35" t="s">
        <v>34</v>
      </c>
      <c r="B33" s="59" t="s">
        <v>138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119350.4</v>
      </c>
      <c r="M33" s="68"/>
      <c r="N33" s="68"/>
      <c r="O33" s="68"/>
      <c r="P33" s="31"/>
    </row>
    <row r="34" spans="1:16" ht="15">
      <c r="A34" s="35" t="s">
        <v>34</v>
      </c>
      <c r="B34" s="59" t="s">
        <v>146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10532.65</v>
      </c>
      <c r="M34" s="68"/>
      <c r="N34" s="68"/>
      <c r="O34" s="68"/>
      <c r="P34" s="31"/>
    </row>
    <row r="35" spans="1:16" ht="15">
      <c r="A35" s="35" t="s">
        <v>34</v>
      </c>
      <c r="B35" s="59" t="s">
        <v>82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290988</v>
      </c>
      <c r="M35" s="68"/>
      <c r="N35" s="68"/>
      <c r="O35" s="68"/>
      <c r="P35" s="31"/>
    </row>
    <row r="36" spans="1:16" ht="15">
      <c r="A36" s="35" t="s">
        <v>34</v>
      </c>
      <c r="B36" s="59" t="s">
        <v>79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1364.73</v>
      </c>
      <c r="M36" s="68"/>
      <c r="N36" s="68"/>
      <c r="O36" s="68"/>
      <c r="P36" s="44"/>
    </row>
    <row r="37" spans="1:16" ht="15">
      <c r="A37" s="35" t="s">
        <v>34</v>
      </c>
      <c r="B37" s="59" t="s">
        <v>37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29502.87</v>
      </c>
      <c r="M37" s="68"/>
      <c r="N37" s="68"/>
      <c r="O37" s="68"/>
      <c r="P37" s="44"/>
    </row>
    <row r="38" spans="1:16" ht="15">
      <c r="A38" s="35" t="s">
        <v>34</v>
      </c>
      <c r="B38" s="59" t="s">
        <v>79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960</v>
      </c>
      <c r="M38" s="68"/>
      <c r="N38" s="68"/>
      <c r="O38" s="68"/>
      <c r="P38" s="44"/>
    </row>
    <row r="39" spans="1:16" ht="15">
      <c r="A39" s="35" t="s">
        <v>34</v>
      </c>
      <c r="B39" s="59" t="s">
        <v>38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2799.81</v>
      </c>
      <c r="M39" s="68"/>
      <c r="N39" s="68"/>
      <c r="O39" s="68"/>
      <c r="P39" s="44"/>
    </row>
    <row r="40" spans="1:16" ht="15">
      <c r="A40" s="36"/>
      <c r="B40" s="49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44"/>
    </row>
    <row r="41" spans="1:16" ht="15">
      <c r="A41" s="36"/>
      <c r="B41" s="49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44"/>
    </row>
    <row r="42" spans="1:16" ht="15">
      <c r="A42" s="36"/>
      <c r="B42" s="49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8"/>
      <c r="O42" s="38"/>
      <c r="P42" s="44"/>
    </row>
    <row r="43" spans="1:15" ht="15">
      <c r="A43" s="39" t="s">
        <v>39</v>
      </c>
      <c r="B43" s="40" t="s">
        <v>135</v>
      </c>
      <c r="C43" s="40"/>
      <c r="D43" s="40"/>
      <c r="E43" s="40"/>
      <c r="F43" s="40"/>
      <c r="G43" s="40"/>
      <c r="H43" s="40"/>
      <c r="I43" s="40"/>
      <c r="J43" s="40"/>
      <c r="K43" s="40"/>
      <c r="L43" s="70">
        <f>P25</f>
        <v>-55460.74540000009</v>
      </c>
      <c r="M43" s="71"/>
      <c r="N43" s="71"/>
      <c r="O43" s="72"/>
    </row>
    <row r="44" spans="1:16" ht="15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5" ht="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1"/>
      <c r="N45" s="41"/>
      <c r="O45" s="42"/>
    </row>
    <row r="46" spans="2:16" ht="15">
      <c r="B46" s="43" t="s">
        <v>45</v>
      </c>
      <c r="C46" s="43"/>
      <c r="D46" s="43"/>
      <c r="E46" s="43"/>
      <c r="F46" s="43"/>
      <c r="G46" s="43"/>
      <c r="H46" s="43"/>
      <c r="I46" s="43"/>
      <c r="J46" s="43"/>
      <c r="K46" s="43"/>
      <c r="L46" s="43" t="s">
        <v>41</v>
      </c>
      <c r="M46" s="43"/>
      <c r="N46" s="43"/>
      <c r="O46" s="6"/>
      <c r="P46" s="3"/>
    </row>
  </sheetData>
  <sheetProtection/>
  <mergeCells count="28">
    <mergeCell ref="M12:N12"/>
    <mergeCell ref="O12:O13"/>
    <mergeCell ref="A1:O1"/>
    <mergeCell ref="A2:O2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39:O39"/>
    <mergeCell ref="L43:O43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3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421875" style="2" customWidth="1" outlineLevel="1"/>
    <col min="5" max="5" width="14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67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10005.9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1046.7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1.0462645054539292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43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345612.68</v>
      </c>
      <c r="D14" s="20">
        <v>24414</v>
      </c>
      <c r="E14" s="21">
        <v>321198.68</v>
      </c>
      <c r="F14" s="19">
        <f>G14+H14</f>
        <v>1721397.95</v>
      </c>
      <c r="G14" s="20">
        <v>156713.93</v>
      </c>
      <c r="H14" s="21">
        <v>1564684.02</v>
      </c>
      <c r="I14" s="19">
        <f>J14+K14</f>
        <v>1797154.46</v>
      </c>
      <c r="J14" s="20">
        <v>154256.03</v>
      </c>
      <c r="K14" s="21">
        <v>1642898.43</v>
      </c>
      <c r="L14" s="19">
        <f>M14+N14</f>
        <v>268711.01</v>
      </c>
      <c r="M14" s="20">
        <f>D14+G13:G14-J14</f>
        <v>26871.899999999994</v>
      </c>
      <c r="N14" s="21">
        <v>241839.11000000002</v>
      </c>
      <c r="O14" s="22">
        <v>1602537.39045</v>
      </c>
      <c r="P14" s="62">
        <f>F14-O14</f>
        <v>118860.55954999989</v>
      </c>
    </row>
    <row r="15" spans="1:16" ht="45">
      <c r="A15" s="17">
        <v>2</v>
      </c>
      <c r="B15" s="18" t="s">
        <v>17</v>
      </c>
      <c r="C15" s="19">
        <v>12420.17</v>
      </c>
      <c r="D15" s="20"/>
      <c r="E15" s="21">
        <v>12420.17</v>
      </c>
      <c r="F15" s="19">
        <f aca="true" t="shared" si="0" ref="F15:F24">G15+H15</f>
        <v>19595.49</v>
      </c>
      <c r="G15" s="20"/>
      <c r="H15" s="21">
        <v>19595.49</v>
      </c>
      <c r="I15" s="19">
        <f aca="true" t="shared" si="1" ref="I15:I24">J15+K15</f>
        <v>27957.46</v>
      </c>
      <c r="J15" s="20"/>
      <c r="K15" s="21">
        <v>27957.46</v>
      </c>
      <c r="L15" s="19">
        <v>4058.2000000000044</v>
      </c>
      <c r="M15" s="20">
        <v>0</v>
      </c>
      <c r="N15" s="21">
        <v>4058.2000000000044</v>
      </c>
      <c r="O15" s="22">
        <f>14439.32+5156.17</f>
        <v>19595.489999999998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78381.19</v>
      </c>
      <c r="D16" s="20"/>
      <c r="E16" s="21">
        <v>78381.19</v>
      </c>
      <c r="F16" s="19">
        <f t="shared" si="0"/>
        <v>447910.45</v>
      </c>
      <c r="G16" s="20"/>
      <c r="H16" s="21">
        <v>447910.45</v>
      </c>
      <c r="I16" s="19">
        <f t="shared" si="1"/>
        <v>460040.67</v>
      </c>
      <c r="J16" s="20"/>
      <c r="K16" s="21">
        <v>460040.67</v>
      </c>
      <c r="L16" s="19">
        <v>66250.97000000003</v>
      </c>
      <c r="M16" s="20">
        <v>0</v>
      </c>
      <c r="N16" s="21">
        <v>66250.97000000003</v>
      </c>
      <c r="O16" s="22">
        <v>438414.16275</v>
      </c>
      <c r="P16" s="62">
        <v>9496.287249999994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-2445.18</v>
      </c>
      <c r="M17" s="20">
        <v>0</v>
      </c>
      <c r="N17" s="21">
        <v>-2445.18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57929</v>
      </c>
      <c r="D18" s="20">
        <v>57929</v>
      </c>
      <c r="E18" s="21"/>
      <c r="F18" s="19">
        <f t="shared" si="0"/>
        <v>362103.04</v>
      </c>
      <c r="G18" s="24">
        <v>362103.04</v>
      </c>
      <c r="H18" s="21"/>
      <c r="I18" s="19">
        <f t="shared" si="1"/>
        <v>345499.61</v>
      </c>
      <c r="J18" s="20">
        <v>345499.61</v>
      </c>
      <c r="K18" s="21"/>
      <c r="L18" s="19">
        <f>M18+N18</f>
        <v>74532.43</v>
      </c>
      <c r="M18" s="20">
        <f>D18+G17:G18-J18</f>
        <v>74532.43</v>
      </c>
      <c r="N18" s="21">
        <v>0</v>
      </c>
      <c r="O18" s="22">
        <v>362103.04</v>
      </c>
      <c r="P18" s="62">
        <f>F18-O18</f>
        <v>0</v>
      </c>
    </row>
    <row r="19" spans="1:16" ht="15">
      <c r="A19" s="17"/>
      <c r="B19" s="23" t="s">
        <v>19</v>
      </c>
      <c r="C19" s="19">
        <v>0</v>
      </c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>
        <v>0</v>
      </c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35933.07</v>
      </c>
      <c r="D22" s="20"/>
      <c r="E22" s="21">
        <v>35933.07</v>
      </c>
      <c r="F22" s="19">
        <f t="shared" si="0"/>
        <v>203436.05</v>
      </c>
      <c r="G22" s="20"/>
      <c r="H22" s="21">
        <v>203436.05</v>
      </c>
      <c r="I22" s="19">
        <f t="shared" si="1"/>
        <v>209656.98</v>
      </c>
      <c r="J22" s="20"/>
      <c r="K22" s="21">
        <v>209656.98</v>
      </c>
      <c r="L22" s="19">
        <v>29569.429999999986</v>
      </c>
      <c r="M22" s="20">
        <v>0</v>
      </c>
      <c r="N22" s="21">
        <v>29569.429999999986</v>
      </c>
      <c r="O22" s="22">
        <v>203436.05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18000</v>
      </c>
      <c r="G24" s="20">
        <f>24000*G11</f>
        <v>18000</v>
      </c>
      <c r="H24" s="21"/>
      <c r="I24" s="19">
        <f t="shared" si="1"/>
        <v>18000</v>
      </c>
      <c r="J24" s="20">
        <f>24000*J11</f>
        <v>18000</v>
      </c>
      <c r="K24" s="21"/>
      <c r="L24" s="19">
        <f>M24+N24</f>
        <v>0</v>
      </c>
      <c r="M24" s="20">
        <f>D24+G23:G24-J24</f>
        <v>0</v>
      </c>
      <c r="N24" s="21">
        <v>0</v>
      </c>
      <c r="O24" s="22">
        <v>0</v>
      </c>
      <c r="P24" s="62">
        <f>F24-O24</f>
        <v>18000</v>
      </c>
    </row>
    <row r="25" spans="1:16" ht="15">
      <c r="A25" s="26"/>
      <c r="B25" s="27"/>
      <c r="C25" s="27">
        <v>530276.11</v>
      </c>
      <c r="D25" s="27">
        <v>82343</v>
      </c>
      <c r="E25" s="28">
        <v>447933.11</v>
      </c>
      <c r="F25" s="27">
        <f>SUM(F14:F24)</f>
        <v>2772442.98</v>
      </c>
      <c r="G25" s="27">
        <f>SUM(G14:G24)</f>
        <v>536816.97</v>
      </c>
      <c r="H25" s="28">
        <v>2235626.01</v>
      </c>
      <c r="I25" s="27">
        <f>SUM(I14:I24)</f>
        <v>2858309.1799999997</v>
      </c>
      <c r="J25" s="27">
        <f>SUM(J14:J24)</f>
        <v>517755.64</v>
      </c>
      <c r="K25" s="28">
        <v>2340553.54</v>
      </c>
      <c r="L25" s="27">
        <f>SUM(L14:L24)</f>
        <v>440676.86000000004</v>
      </c>
      <c r="M25" s="27">
        <f>SUM(M14:M24)</f>
        <v>101404.32999999999</v>
      </c>
      <c r="N25" s="28">
        <v>339272.53</v>
      </c>
      <c r="O25" s="27">
        <v>2649652.6632000003</v>
      </c>
      <c r="P25" s="27">
        <f>SUM(P14:P24)</f>
        <v>146356.84679999988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305085.69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1364.73</v>
      </c>
      <c r="M33" s="68"/>
      <c r="N33" s="68"/>
      <c r="O33" s="68"/>
      <c r="P33" s="31"/>
    </row>
    <row r="34" spans="1:16" ht="15">
      <c r="A34" s="35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960</v>
      </c>
      <c r="M34" s="68"/>
      <c r="N34" s="68"/>
      <c r="O34" s="68"/>
      <c r="P34" s="31"/>
    </row>
    <row r="35" spans="1:16" ht="15">
      <c r="A35" s="35" t="s">
        <v>34</v>
      </c>
      <c r="B35" s="59" t="s">
        <v>87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212400</v>
      </c>
      <c r="M35" s="68"/>
      <c r="N35" s="68"/>
      <c r="O35" s="68"/>
      <c r="P35" s="31"/>
    </row>
    <row r="36" spans="1:16" ht="15">
      <c r="A36" s="35" t="s">
        <v>34</v>
      </c>
      <c r="B36" s="59" t="s">
        <v>37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88779.13</v>
      </c>
      <c r="M36" s="68"/>
      <c r="N36" s="68"/>
      <c r="O36" s="68"/>
      <c r="P36" s="44"/>
    </row>
    <row r="37" spans="1:16" ht="15">
      <c r="A37" s="35" t="s">
        <v>34</v>
      </c>
      <c r="B37" s="59" t="s">
        <v>38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1581.83</v>
      </c>
      <c r="M37" s="68"/>
      <c r="N37" s="68"/>
      <c r="O37" s="68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146356.84679999988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PageLayoutView="0" workbookViewId="0" topLeftCell="A10">
      <selection activeCell="L42" sqref="L42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4.00390625" style="2" customWidth="1" outlineLevel="1"/>
    <col min="5" max="5" width="17.0039062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68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2431.2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542.5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0.9857929464817464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40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45275.69</v>
      </c>
      <c r="D14" s="20">
        <v>8454</v>
      </c>
      <c r="E14" s="21">
        <v>36821.69</v>
      </c>
      <c r="F14" s="19">
        <f>G14+H14</f>
        <v>450477.60000000003</v>
      </c>
      <c r="G14" s="20">
        <v>84630</v>
      </c>
      <c r="H14" s="21">
        <v>365847.60000000003</v>
      </c>
      <c r="I14" s="19">
        <f>J14+K14</f>
        <v>436917.02999999997</v>
      </c>
      <c r="J14" s="20">
        <v>63438.7</v>
      </c>
      <c r="K14" s="21">
        <v>373478.32999999996</v>
      </c>
      <c r="L14" s="19">
        <f>M14+N14</f>
        <v>58836.26000000008</v>
      </c>
      <c r="M14" s="20">
        <f>D14+G14-J14</f>
        <v>29645.300000000003</v>
      </c>
      <c r="N14" s="21">
        <v>29190.96000000008</v>
      </c>
      <c r="O14" s="22">
        <v>942964.0541500001</v>
      </c>
      <c r="P14" s="62">
        <f>F14-O14</f>
        <v>-492486.45415000006</v>
      </c>
    </row>
    <row r="15" spans="1:16" ht="45">
      <c r="A15" s="17">
        <v>2</v>
      </c>
      <c r="B15" s="18" t="s">
        <v>17</v>
      </c>
      <c r="C15" s="19">
        <v>936.49</v>
      </c>
      <c r="D15" s="20"/>
      <c r="E15" s="21">
        <v>936.49</v>
      </c>
      <c r="F15" s="19">
        <f aca="true" t="shared" si="0" ref="F15:F24">G15+H15</f>
        <v>3303.93</v>
      </c>
      <c r="G15" s="20"/>
      <c r="H15" s="21">
        <v>3303.93</v>
      </c>
      <c r="I15" s="19">
        <f aca="true" t="shared" si="1" ref="I15:I24">J15+K15</f>
        <v>4270.66</v>
      </c>
      <c r="J15" s="20"/>
      <c r="K15" s="21">
        <v>4270.66</v>
      </c>
      <c r="L15" s="19">
        <v>-30.23999999999978</v>
      </c>
      <c r="M15" s="20">
        <v>0</v>
      </c>
      <c r="N15" s="21">
        <v>-30.23999999999978</v>
      </c>
      <c r="O15" s="22">
        <f>2901.72+402.21</f>
        <v>3303.93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0</v>
      </c>
      <c r="D16" s="20"/>
      <c r="E16" s="21"/>
      <c r="F16" s="19">
        <f t="shared" si="0"/>
        <v>0</v>
      </c>
      <c r="G16" s="20"/>
      <c r="H16" s="21"/>
      <c r="I16" s="19">
        <f t="shared" si="1"/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20445</v>
      </c>
      <c r="D18" s="20">
        <v>20445</v>
      </c>
      <c r="E18" s="21"/>
      <c r="F18" s="19">
        <f t="shared" si="0"/>
        <v>101851.51</v>
      </c>
      <c r="G18" s="24">
        <v>101851.51</v>
      </c>
      <c r="H18" s="21"/>
      <c r="I18" s="19">
        <f t="shared" si="1"/>
        <v>81641.33</v>
      </c>
      <c r="J18" s="20">
        <v>81641.33</v>
      </c>
      <c r="K18" s="21"/>
      <c r="L18" s="19">
        <f>M18+N18</f>
        <v>40655.17999999999</v>
      </c>
      <c r="M18" s="20">
        <f>D18+G18-J18</f>
        <v>40655.17999999999</v>
      </c>
      <c r="N18" s="21">
        <v>0</v>
      </c>
      <c r="O18" s="22">
        <v>101851.51</v>
      </c>
      <c r="P18" s="62">
        <f>F18-O18</f>
        <v>0</v>
      </c>
    </row>
    <row r="19" spans="1:16" ht="15">
      <c r="A19" s="17"/>
      <c r="B19" s="23" t="s">
        <v>19</v>
      </c>
      <c r="C19" s="19">
        <v>0</v>
      </c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>
        <v>0</v>
      </c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4956.7699999999995</v>
      </c>
      <c r="D22" s="20"/>
      <c r="E22" s="21">
        <v>4956.7699999999995</v>
      </c>
      <c r="F22" s="19">
        <f t="shared" si="0"/>
        <v>49596.48</v>
      </c>
      <c r="G22" s="20"/>
      <c r="H22" s="21">
        <v>49596.48</v>
      </c>
      <c r="I22" s="19">
        <f t="shared" si="1"/>
        <v>50635.62</v>
      </c>
      <c r="J22" s="20"/>
      <c r="K22" s="21">
        <v>50635.62</v>
      </c>
      <c r="L22" s="19">
        <v>3917.6299999999974</v>
      </c>
      <c r="M22" s="20">
        <v>0</v>
      </c>
      <c r="N22" s="21">
        <v>3917.6299999999974</v>
      </c>
      <c r="O22" s="22">
        <v>49596.479999999996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0</v>
      </c>
      <c r="G24" s="20"/>
      <c r="H24" s="21"/>
      <c r="I24" s="19">
        <f t="shared" si="1"/>
        <v>0</v>
      </c>
      <c r="J24" s="20"/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v>71613.95</v>
      </c>
      <c r="D25" s="27">
        <v>28899</v>
      </c>
      <c r="E25" s="28">
        <v>42714.95</v>
      </c>
      <c r="F25" s="27">
        <f>SUM(F14:F24)</f>
        <v>605229.52</v>
      </c>
      <c r="G25" s="27">
        <f>SUM(G14:G24)</f>
        <v>186481.51</v>
      </c>
      <c r="H25" s="28">
        <v>418748.01</v>
      </c>
      <c r="I25" s="27">
        <f>SUM(I14:I24)</f>
        <v>573464.64</v>
      </c>
      <c r="J25" s="27">
        <f>SUM(J14:J24)</f>
        <v>145080.03</v>
      </c>
      <c r="K25" s="28">
        <v>428384.6099999999</v>
      </c>
      <c r="L25" s="27">
        <f>SUM(L14:L24)</f>
        <v>103378.83000000007</v>
      </c>
      <c r="M25" s="27">
        <f>SUM(M14:M24)</f>
        <v>70300.48</v>
      </c>
      <c r="N25" s="28">
        <v>33078.35000000008</v>
      </c>
      <c r="O25" s="27">
        <v>1168613.25415</v>
      </c>
      <c r="P25" s="27">
        <f>SUM(P14:P24)</f>
        <v>-492486.45415000006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 customHeight="1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602537.3099999999</v>
      </c>
      <c r="M32" s="77"/>
      <c r="N32" s="77"/>
      <c r="O32" s="78"/>
      <c r="P32" s="31"/>
    </row>
    <row r="33" spans="1:16" ht="15">
      <c r="A33" s="35" t="s">
        <v>34</v>
      </c>
      <c r="B33" s="59" t="s">
        <v>116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518816.35</v>
      </c>
      <c r="M33" s="68"/>
      <c r="N33" s="68"/>
      <c r="O33" s="68"/>
      <c r="P33" s="31"/>
    </row>
    <row r="34" spans="1:16" ht="15">
      <c r="A34" s="35" t="s">
        <v>34</v>
      </c>
      <c r="B34" s="59" t="s">
        <v>117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16280</v>
      </c>
      <c r="M34" s="68"/>
      <c r="N34" s="68"/>
      <c r="O34" s="68"/>
      <c r="P34" s="31"/>
    </row>
    <row r="35" spans="1:16" ht="15">
      <c r="A35" s="35" t="s">
        <v>34</v>
      </c>
      <c r="B35" s="59" t="s">
        <v>83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850</v>
      </c>
      <c r="M35" s="68"/>
      <c r="N35" s="68"/>
      <c r="O35" s="68"/>
      <c r="P35" s="31"/>
    </row>
    <row r="36" spans="1:16" ht="15">
      <c r="A36" s="35" t="s">
        <v>34</v>
      </c>
      <c r="B36" s="59" t="s">
        <v>82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14637</v>
      </c>
      <c r="M36" s="68"/>
      <c r="N36" s="68"/>
      <c r="O36" s="68"/>
      <c r="P36" s="44"/>
    </row>
    <row r="37" spans="1:16" ht="15">
      <c r="A37" s="35" t="s">
        <v>34</v>
      </c>
      <c r="B37" s="59" t="s">
        <v>118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49380.84</v>
      </c>
      <c r="M37" s="68"/>
      <c r="N37" s="68"/>
      <c r="O37" s="68"/>
      <c r="P37" s="44"/>
    </row>
    <row r="38" spans="1:16" ht="15">
      <c r="A38" s="35" t="s">
        <v>34</v>
      </c>
      <c r="B38" s="59" t="s">
        <v>38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2573.12</v>
      </c>
      <c r="M38" s="68"/>
      <c r="N38" s="68"/>
      <c r="O38" s="68"/>
      <c r="P38" s="44"/>
    </row>
    <row r="39" spans="1:16" ht="15">
      <c r="A39" s="36"/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6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44"/>
    </row>
    <row r="41" spans="1:15" ht="15">
      <c r="A41" s="39" t="s">
        <v>39</v>
      </c>
      <c r="B41" s="40" t="s">
        <v>135</v>
      </c>
      <c r="C41" s="40"/>
      <c r="D41" s="40"/>
      <c r="E41" s="40"/>
      <c r="F41" s="40"/>
      <c r="G41" s="40"/>
      <c r="H41" s="40"/>
      <c r="I41" s="40"/>
      <c r="J41" s="40"/>
      <c r="K41" s="40"/>
      <c r="L41" s="70">
        <f>P25</f>
        <v>-492486.45415000006</v>
      </c>
      <c r="M41" s="71"/>
      <c r="N41" s="71"/>
      <c r="O41" s="72"/>
    </row>
    <row r="42" spans="1:16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5" ht="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1"/>
      <c r="N43" s="41"/>
      <c r="O43" s="42"/>
    </row>
    <row r="44" spans="2:16" ht="15">
      <c r="B44" s="43" t="s">
        <v>45</v>
      </c>
      <c r="C44" s="43"/>
      <c r="D44" s="43"/>
      <c r="E44" s="43"/>
      <c r="F44" s="43"/>
      <c r="G44" s="43"/>
      <c r="H44" s="43"/>
      <c r="I44" s="43"/>
      <c r="J44" s="43"/>
      <c r="K44" s="43"/>
      <c r="L44" s="43" t="s">
        <v>41</v>
      </c>
      <c r="M44" s="43"/>
      <c r="N44" s="43"/>
      <c r="O44" s="6"/>
      <c r="P44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1:O41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0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69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9645.3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1635.9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1.0715292548618462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40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534863.4299999999</v>
      </c>
      <c r="D14" s="20">
        <v>285603</v>
      </c>
      <c r="E14" s="21">
        <v>249260.43</v>
      </c>
      <c r="F14" s="19">
        <f>G14+H14</f>
        <v>1759584.92</v>
      </c>
      <c r="G14" s="20">
        <v>251443.4</v>
      </c>
      <c r="H14" s="21">
        <v>1508141.52</v>
      </c>
      <c r="I14" s="19">
        <f>J14+K14</f>
        <v>1784698.6400000001</v>
      </c>
      <c r="J14" s="20">
        <v>271705.59</v>
      </c>
      <c r="K14" s="21">
        <v>1512993.05</v>
      </c>
      <c r="L14" s="19">
        <f>M14+N14</f>
        <v>509749.7099999999</v>
      </c>
      <c r="M14" s="20">
        <f>D14+G14-J14</f>
        <v>265340.81</v>
      </c>
      <c r="N14" s="21">
        <v>244408.8999999999</v>
      </c>
      <c r="O14" s="22">
        <v>1361730.50355</v>
      </c>
      <c r="P14" s="62">
        <f>F14-O14</f>
        <v>397854.4164499999</v>
      </c>
    </row>
    <row r="15" spans="1:16" ht="45">
      <c r="A15" s="17">
        <v>2</v>
      </c>
      <c r="B15" s="18" t="s">
        <v>17</v>
      </c>
      <c r="C15" s="19">
        <v>9530.7</v>
      </c>
      <c r="D15" s="20"/>
      <c r="E15" s="21">
        <v>9530.7</v>
      </c>
      <c r="F15" s="19">
        <v>18062.71</v>
      </c>
      <c r="G15" s="20"/>
      <c r="H15" s="21">
        <v>18062.71</v>
      </c>
      <c r="I15" s="19">
        <v>25793.98</v>
      </c>
      <c r="J15" s="20"/>
      <c r="K15" s="21">
        <v>25793.98</v>
      </c>
      <c r="L15" s="19">
        <v>1799.4300000000003</v>
      </c>
      <c r="M15" s="20">
        <v>0</v>
      </c>
      <c r="N15" s="21">
        <v>1799.4300000000003</v>
      </c>
      <c r="O15" s="22">
        <f>13511.54+4551.17</f>
        <v>18062.71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64398.46</v>
      </c>
      <c r="D16" s="20"/>
      <c r="E16" s="21">
        <v>64398.46</v>
      </c>
      <c r="F16" s="19">
        <v>431724.6</v>
      </c>
      <c r="G16" s="20"/>
      <c r="H16" s="21">
        <v>431724.6</v>
      </c>
      <c r="I16" s="19">
        <v>427228.4</v>
      </c>
      <c r="J16" s="20"/>
      <c r="K16" s="21">
        <v>427228.4</v>
      </c>
      <c r="L16" s="19">
        <v>68894.65999999997</v>
      </c>
      <c r="M16" s="20">
        <v>0</v>
      </c>
      <c r="N16" s="21">
        <v>68894.65999999997</v>
      </c>
      <c r="O16" s="22">
        <f>411941.108+10000</f>
        <v>421941.108</v>
      </c>
      <c r="P16" s="65">
        <f>F16-O16</f>
        <v>9783.49199999997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137300</v>
      </c>
      <c r="D18" s="20">
        <v>137300</v>
      </c>
      <c r="E18" s="21"/>
      <c r="F18" s="19">
        <f>G18+H18</f>
        <v>470635.55</v>
      </c>
      <c r="G18" s="24">
        <v>470635.55</v>
      </c>
      <c r="H18" s="21"/>
      <c r="I18" s="19">
        <f>J18+K18</f>
        <v>514351.42</v>
      </c>
      <c r="J18" s="20">
        <v>514351.42</v>
      </c>
      <c r="K18" s="21"/>
      <c r="L18" s="19">
        <f>M18+N18</f>
        <v>93584.13000000006</v>
      </c>
      <c r="M18" s="20">
        <f>D18+G18-J18</f>
        <v>93584.13000000006</v>
      </c>
      <c r="N18" s="21">
        <v>0</v>
      </c>
      <c r="O18" s="22">
        <v>470635.55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28799.29</v>
      </c>
      <c r="D22" s="20"/>
      <c r="E22" s="21">
        <v>28799.29</v>
      </c>
      <c r="F22" s="19">
        <v>196764.24</v>
      </c>
      <c r="G22" s="20"/>
      <c r="H22" s="21">
        <v>196764.24</v>
      </c>
      <c r="I22" s="19">
        <v>196786.59</v>
      </c>
      <c r="J22" s="20"/>
      <c r="K22" s="21">
        <v>196786.59</v>
      </c>
      <c r="L22" s="19">
        <v>28776.940000000002</v>
      </c>
      <c r="M22" s="20">
        <v>0</v>
      </c>
      <c r="N22" s="21">
        <v>28776.940000000002</v>
      </c>
      <c r="O22" s="22">
        <v>196764.24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156176.45</v>
      </c>
      <c r="G24" s="20">
        <f>140426.45+21000*G11</f>
        <v>156176.45</v>
      </c>
      <c r="H24" s="21"/>
      <c r="I24" s="19">
        <f>J24+K24</f>
        <v>155376.45</v>
      </c>
      <c r="J24" s="20">
        <f>139626.45+21000*J11</f>
        <v>155376.45</v>
      </c>
      <c r="K24" s="21"/>
      <c r="L24" s="19">
        <f>M24+N24</f>
        <v>800</v>
      </c>
      <c r="M24" s="20">
        <f>D24+G24-J24</f>
        <v>800</v>
      </c>
      <c r="N24" s="21">
        <v>0</v>
      </c>
      <c r="O24" s="22">
        <v>0</v>
      </c>
      <c r="P24" s="62">
        <f>F24-O24</f>
        <v>156176.45</v>
      </c>
    </row>
    <row r="25" spans="1:16" ht="15">
      <c r="A25" s="26"/>
      <c r="B25" s="27"/>
      <c r="C25" s="27">
        <v>774891.8799999999</v>
      </c>
      <c r="D25" s="27">
        <v>422903</v>
      </c>
      <c r="E25" s="28">
        <v>351988.88</v>
      </c>
      <c r="F25" s="27">
        <f>SUM(F14:F24)</f>
        <v>3032948.4699999997</v>
      </c>
      <c r="G25" s="27">
        <f>SUM(G14:G24)</f>
        <v>878255.3999999999</v>
      </c>
      <c r="H25" s="28">
        <v>2154693.0700000003</v>
      </c>
      <c r="I25" s="27">
        <f>SUM(I14:I24)</f>
        <v>3104235.48</v>
      </c>
      <c r="J25" s="27">
        <f>SUM(J14:J24)</f>
        <v>941433.46</v>
      </c>
      <c r="K25" s="28">
        <v>2162802.02</v>
      </c>
      <c r="L25" s="27">
        <f>SUM(L14:L24)</f>
        <v>703604.8699999999</v>
      </c>
      <c r="M25" s="27">
        <f>SUM(M14:M24)</f>
        <v>359724.94000000006</v>
      </c>
      <c r="N25" s="28">
        <v>343879.9299999999</v>
      </c>
      <c r="O25" s="27">
        <v>2483875.25155</v>
      </c>
      <c r="P25" s="27">
        <f>SUM(P14:P24)</f>
        <v>563814.3584499999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44167.060000000005</v>
      </c>
      <c r="M32" s="77"/>
      <c r="N32" s="77"/>
      <c r="O32" s="78"/>
      <c r="P32" s="31"/>
    </row>
    <row r="33" spans="1:16" ht="15">
      <c r="A33" s="35" t="s">
        <v>34</v>
      </c>
      <c r="B33" s="59" t="s">
        <v>119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14620.96</v>
      </c>
      <c r="M33" s="68"/>
      <c r="N33" s="68"/>
      <c r="O33" s="68"/>
      <c r="P33" s="31"/>
    </row>
    <row r="34" spans="1:16" ht="15">
      <c r="A34" s="35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1364.73</v>
      </c>
      <c r="M34" s="68"/>
      <c r="N34" s="68"/>
      <c r="O34" s="68"/>
      <c r="P34" s="31"/>
    </row>
    <row r="35" spans="1:16" ht="15">
      <c r="A35" s="35" t="s">
        <v>34</v>
      </c>
      <c r="B35" s="59" t="s">
        <v>37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26200.72</v>
      </c>
      <c r="M35" s="68"/>
      <c r="N35" s="68"/>
      <c r="O35" s="68"/>
      <c r="P35" s="31"/>
    </row>
    <row r="36" spans="1:16" ht="15">
      <c r="A36" s="35" t="s">
        <v>34</v>
      </c>
      <c r="B36" s="59" t="s">
        <v>79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960</v>
      </c>
      <c r="M36" s="68"/>
      <c r="N36" s="68"/>
      <c r="O36" s="68"/>
      <c r="P36" s="44"/>
    </row>
    <row r="37" spans="1:16" ht="15">
      <c r="A37" s="35" t="s">
        <v>34</v>
      </c>
      <c r="B37" s="59" t="s">
        <v>38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1020.65</v>
      </c>
      <c r="M37" s="68"/>
      <c r="N37" s="68"/>
      <c r="O37" s="68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563814.3584499999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7">
      <selection activeCell="R24" sqref="R24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70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1411.5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68.8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1.0320971408732802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7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18382.18</v>
      </c>
      <c r="D14" s="20">
        <v>2969</v>
      </c>
      <c r="E14" s="21">
        <v>15413.18</v>
      </c>
      <c r="F14" s="19">
        <f>G14+H14</f>
        <v>231681.38</v>
      </c>
      <c r="G14" s="20">
        <v>10732.8</v>
      </c>
      <c r="H14" s="21">
        <v>220948.58000000002</v>
      </c>
      <c r="I14" s="19">
        <f>J14+K14</f>
        <v>236917.61</v>
      </c>
      <c r="J14" s="20">
        <v>6260.4</v>
      </c>
      <c r="K14" s="21">
        <v>230657.21</v>
      </c>
      <c r="L14" s="19">
        <f>M14+N14</f>
        <v>13145.950000000017</v>
      </c>
      <c r="M14" s="20">
        <f>D14+G14-J14</f>
        <v>7441.4</v>
      </c>
      <c r="N14" s="21">
        <v>5704.5500000000175</v>
      </c>
      <c r="O14" s="22">
        <v>253841.90355000002</v>
      </c>
      <c r="P14" s="62">
        <f>F14-O14</f>
        <v>-22160.523550000013</v>
      </c>
    </row>
    <row r="15" spans="1:16" ht="45">
      <c r="A15" s="17">
        <v>2</v>
      </c>
      <c r="B15" s="18" t="s">
        <v>17</v>
      </c>
      <c r="C15" s="19">
        <v>1129.75</v>
      </c>
      <c r="D15" s="20"/>
      <c r="E15" s="21">
        <v>1129.75</v>
      </c>
      <c r="F15" s="19">
        <v>4741.07</v>
      </c>
      <c r="G15" s="20"/>
      <c r="H15" s="21">
        <v>4741.07</v>
      </c>
      <c r="I15" s="19">
        <v>5870.82</v>
      </c>
      <c r="J15" s="20"/>
      <c r="K15" s="21">
        <v>5870.82</v>
      </c>
      <c r="L15" s="19">
        <v>0</v>
      </c>
      <c r="M15" s="20">
        <v>0</v>
      </c>
      <c r="N15" s="21">
        <v>0</v>
      </c>
      <c r="O15" s="22">
        <f>12629.33-7888.26</f>
        <v>4741.07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4813.3</v>
      </c>
      <c r="D16" s="20"/>
      <c r="E16" s="21">
        <v>4813.3</v>
      </c>
      <c r="F16" s="19">
        <v>53679.41</v>
      </c>
      <c r="G16" s="20"/>
      <c r="H16" s="21">
        <v>53679.41</v>
      </c>
      <c r="I16" s="19">
        <v>56859.71</v>
      </c>
      <c r="J16" s="20"/>
      <c r="K16" s="21">
        <v>56859.71</v>
      </c>
      <c r="L16" s="19">
        <v>1633.0000000000073</v>
      </c>
      <c r="M16" s="20">
        <v>0</v>
      </c>
      <c r="N16" s="21">
        <v>1633.0000000000073</v>
      </c>
      <c r="O16" s="22">
        <v>56718.20555</v>
      </c>
      <c r="P16" s="62">
        <v>-3038.7955499999953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2074.78</v>
      </c>
      <c r="D22" s="20"/>
      <c r="E22" s="21">
        <v>2074.78</v>
      </c>
      <c r="F22" s="19">
        <v>28826.73</v>
      </c>
      <c r="G22" s="20"/>
      <c r="H22" s="21">
        <v>28826.73</v>
      </c>
      <c r="I22" s="19">
        <v>30157.25</v>
      </c>
      <c r="J22" s="20"/>
      <c r="K22" s="21">
        <v>30157.25</v>
      </c>
      <c r="L22" s="19">
        <v>744.2599999999984</v>
      </c>
      <c r="M22" s="20">
        <v>0</v>
      </c>
      <c r="N22" s="21">
        <v>744.2599999999984</v>
      </c>
      <c r="O22" s="22">
        <v>28826.730000000003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1350</v>
      </c>
      <c r="G24" s="20">
        <f>1800*G11</f>
        <v>1350</v>
      </c>
      <c r="H24" s="21"/>
      <c r="I24" s="19">
        <f>J24+K24</f>
        <v>1350</v>
      </c>
      <c r="J24" s="20">
        <f>1800*J11</f>
        <v>1350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1350</v>
      </c>
    </row>
    <row r="25" spans="1:16" ht="15">
      <c r="A25" s="26"/>
      <c r="B25" s="27"/>
      <c r="C25" s="27">
        <v>26400.01</v>
      </c>
      <c r="D25" s="27">
        <v>2969</v>
      </c>
      <c r="E25" s="28">
        <v>23431.01</v>
      </c>
      <c r="F25" s="27">
        <f>SUM(F14:F24)</f>
        <v>320278.58999999997</v>
      </c>
      <c r="G25" s="27">
        <f>SUM(G14:G24)</f>
        <v>12082.8</v>
      </c>
      <c r="H25" s="28">
        <v>308195.79000000004</v>
      </c>
      <c r="I25" s="27">
        <f>SUM(I14:I24)</f>
        <v>331155.39</v>
      </c>
      <c r="J25" s="27">
        <f>SUM(J14:J24)</f>
        <v>7610.4</v>
      </c>
      <c r="K25" s="28">
        <v>323544.99</v>
      </c>
      <c r="L25" s="27">
        <f>SUM(L14:L24)</f>
        <v>15523.210000000023</v>
      </c>
      <c r="M25" s="27">
        <f>SUM(M14:M24)</f>
        <v>7441.4</v>
      </c>
      <c r="N25" s="28">
        <v>8081.810000000023</v>
      </c>
      <c r="O25" s="27">
        <v>352016.1691</v>
      </c>
      <c r="P25" s="27">
        <f>SUM(P14:P24)</f>
        <v>-23849.319100000008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81902.29000000001</v>
      </c>
      <c r="M32" s="77"/>
      <c r="N32" s="77"/>
      <c r="O32" s="78"/>
      <c r="P32" s="31"/>
    </row>
    <row r="33" spans="1:16" ht="15">
      <c r="A33" s="35" t="s">
        <v>34</v>
      </c>
      <c r="B33" s="59" t="s">
        <v>43</v>
      </c>
      <c r="C33" s="60"/>
      <c r="D33" s="61"/>
      <c r="E33" s="58"/>
      <c r="F33" s="58"/>
      <c r="G33" s="58"/>
      <c r="H33" s="58"/>
      <c r="I33" s="58"/>
      <c r="J33" s="58"/>
      <c r="K33" s="58"/>
      <c r="L33" s="89">
        <v>15969.42</v>
      </c>
      <c r="M33" s="89">
        <v>6820.88</v>
      </c>
      <c r="N33" s="89">
        <v>6820.88</v>
      </c>
      <c r="O33" s="89"/>
      <c r="P33" s="31"/>
    </row>
    <row r="34" spans="1:16" ht="15">
      <c r="A34" s="35" t="s">
        <v>34</v>
      </c>
      <c r="B34" s="59" t="s">
        <v>38</v>
      </c>
      <c r="C34" s="60"/>
      <c r="D34" s="61"/>
      <c r="E34" s="58"/>
      <c r="F34" s="58"/>
      <c r="G34" s="58"/>
      <c r="H34" s="58"/>
      <c r="I34" s="58"/>
      <c r="J34" s="58"/>
      <c r="K34" s="58"/>
      <c r="L34" s="89">
        <v>203.41</v>
      </c>
      <c r="M34" s="89">
        <v>710.66</v>
      </c>
      <c r="N34" s="89">
        <v>710.66</v>
      </c>
      <c r="O34" s="89"/>
      <c r="P34" s="31"/>
    </row>
    <row r="35" spans="1:16" ht="15">
      <c r="A35" s="35" t="s">
        <v>34</v>
      </c>
      <c r="B35" s="59" t="s">
        <v>79</v>
      </c>
      <c r="C35" s="60"/>
      <c r="D35" s="61"/>
      <c r="E35" s="58"/>
      <c r="F35" s="58"/>
      <c r="G35" s="58"/>
      <c r="H35" s="58"/>
      <c r="I35" s="58"/>
      <c r="J35" s="58"/>
      <c r="K35" s="58"/>
      <c r="L35" s="89">
        <v>2729.46</v>
      </c>
      <c r="M35" s="89">
        <v>3393.7200000000003</v>
      </c>
      <c r="N35" s="89">
        <v>3393.7200000000003</v>
      </c>
      <c r="O35" s="89"/>
      <c r="P35" s="44"/>
    </row>
    <row r="36" spans="1:16" ht="15">
      <c r="A36" s="35"/>
      <c r="B36" s="59" t="s">
        <v>82</v>
      </c>
      <c r="C36" s="60"/>
      <c r="D36" s="61"/>
      <c r="E36" s="58"/>
      <c r="F36" s="58"/>
      <c r="G36" s="58"/>
      <c r="H36" s="58"/>
      <c r="I36" s="58"/>
      <c r="J36" s="58"/>
      <c r="K36" s="58"/>
      <c r="L36" s="89">
        <v>60000</v>
      </c>
      <c r="M36" s="89">
        <v>3393.7200000000003</v>
      </c>
      <c r="N36" s="89">
        <v>3393.7200000000003</v>
      </c>
      <c r="O36" s="89"/>
      <c r="P36" s="44"/>
    </row>
    <row r="37" spans="1:16" ht="15">
      <c r="A37" s="35" t="s">
        <v>34</v>
      </c>
      <c r="B37" s="59" t="s">
        <v>134</v>
      </c>
      <c r="C37" s="60"/>
      <c r="D37" s="61"/>
      <c r="E37" s="58"/>
      <c r="F37" s="58"/>
      <c r="G37" s="58"/>
      <c r="H37" s="58"/>
      <c r="I37" s="58"/>
      <c r="J37" s="58"/>
      <c r="K37" s="58"/>
      <c r="L37" s="89">
        <v>3000</v>
      </c>
      <c r="M37" s="89">
        <v>12992.07</v>
      </c>
      <c r="N37" s="89">
        <v>12992.07</v>
      </c>
      <c r="O37" s="89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-23849.319100000008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P12:P13"/>
    <mergeCell ref="B29:K29"/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L36:O36"/>
    <mergeCell ref="B30:K30"/>
    <mergeCell ref="L30:O30"/>
    <mergeCell ref="L29:O29"/>
    <mergeCell ref="L37:O37"/>
    <mergeCell ref="L38:O38"/>
    <mergeCell ref="L40:O40"/>
    <mergeCell ref="B32:K32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0">
      <selection activeCell="L43" sqref="L43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71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10228.7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1591.9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1.0485224430713462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9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579909.0700000001</v>
      </c>
      <c r="D14" s="20">
        <v>60822</v>
      </c>
      <c r="E14" s="21">
        <v>519087.07</v>
      </c>
      <c r="F14" s="19">
        <f>G14+H14</f>
        <v>1865986.64</v>
      </c>
      <c r="G14" s="20">
        <v>266566.67</v>
      </c>
      <c r="H14" s="21">
        <v>1599419.97</v>
      </c>
      <c r="I14" s="19">
        <f>J14+K14</f>
        <v>1919099.1600000001</v>
      </c>
      <c r="J14" s="20">
        <v>282002.6</v>
      </c>
      <c r="K14" s="21">
        <v>1637096.56</v>
      </c>
      <c r="L14" s="19">
        <f>M14+N14</f>
        <v>526796.55</v>
      </c>
      <c r="M14" s="20">
        <f>D14+G14-J14</f>
        <v>45386.07000000001</v>
      </c>
      <c r="N14" s="21">
        <v>481410.48</v>
      </c>
      <c r="O14" s="22">
        <v>1579893.44595</v>
      </c>
      <c r="P14" s="62">
        <f>F14-O14</f>
        <v>286093.1940499998</v>
      </c>
    </row>
    <row r="15" spans="1:16" ht="45">
      <c r="A15" s="17">
        <v>2</v>
      </c>
      <c r="B15" s="18" t="s">
        <v>17</v>
      </c>
      <c r="C15" s="19">
        <v>17915.52</v>
      </c>
      <c r="D15" s="20"/>
      <c r="E15" s="21">
        <v>17915.52</v>
      </c>
      <c r="F15" s="19">
        <v>23005.9</v>
      </c>
      <c r="G15" s="20"/>
      <c r="H15" s="21">
        <v>23005.9</v>
      </c>
      <c r="I15" s="19">
        <v>32106.64</v>
      </c>
      <c r="J15" s="20"/>
      <c r="K15" s="21">
        <v>32106.64</v>
      </c>
      <c r="L15" s="19">
        <v>8814.779999999999</v>
      </c>
      <c r="M15" s="20">
        <v>0</v>
      </c>
      <c r="N15" s="21">
        <v>8814.779999999999</v>
      </c>
      <c r="O15" s="22">
        <f>16989.52+6016.38</f>
        <v>23005.9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119300.74</v>
      </c>
      <c r="D16" s="20"/>
      <c r="E16" s="21">
        <v>119300.74</v>
      </c>
      <c r="F16" s="19">
        <v>457853.67</v>
      </c>
      <c r="G16" s="20"/>
      <c r="H16" s="21">
        <v>457853.67</v>
      </c>
      <c r="I16" s="19">
        <v>457979.01</v>
      </c>
      <c r="J16" s="20"/>
      <c r="K16" s="21">
        <v>457979.01</v>
      </c>
      <c r="L16" s="19">
        <v>119175.40000000002</v>
      </c>
      <c r="M16" s="20">
        <v>0</v>
      </c>
      <c r="N16" s="21">
        <v>119175.40000000002</v>
      </c>
      <c r="O16" s="22">
        <f>444576.51885+10000</f>
        <v>454576.51885</v>
      </c>
      <c r="P16" s="62">
        <f>F16-O16</f>
        <v>3277.1511499999906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86680.79</v>
      </c>
      <c r="D18" s="20">
        <v>81908</v>
      </c>
      <c r="E18" s="21">
        <v>4772.79</v>
      </c>
      <c r="F18" s="19">
        <f>G18+H18</f>
        <v>336009.56</v>
      </c>
      <c r="G18" s="24">
        <v>336009.56</v>
      </c>
      <c r="H18" s="21"/>
      <c r="I18" s="19">
        <f>J18+K18</f>
        <v>378133.03</v>
      </c>
      <c r="J18" s="20">
        <v>378133.03</v>
      </c>
      <c r="K18" s="21"/>
      <c r="L18" s="19">
        <f>M18+N18</f>
        <v>44557.31999999997</v>
      </c>
      <c r="M18" s="20">
        <f>D18+G18-J18</f>
        <v>39784.52999999997</v>
      </c>
      <c r="N18" s="21">
        <v>4772.79</v>
      </c>
      <c r="O18" s="22">
        <v>336009.56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47988.42</v>
      </c>
      <c r="D22" s="20"/>
      <c r="E22" s="21">
        <v>47988.42</v>
      </c>
      <c r="F22" s="19">
        <v>208673.13</v>
      </c>
      <c r="G22" s="20"/>
      <c r="H22" s="21">
        <v>208673.13</v>
      </c>
      <c r="I22" s="19">
        <v>208010.14</v>
      </c>
      <c r="J22" s="20"/>
      <c r="K22" s="21">
        <v>208010.14</v>
      </c>
      <c r="L22" s="19">
        <v>48651.409999999974</v>
      </c>
      <c r="M22" s="20">
        <v>0</v>
      </c>
      <c r="N22" s="21">
        <v>48651.409999999974</v>
      </c>
      <c r="O22" s="22">
        <v>208673.13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18000</v>
      </c>
      <c r="G24" s="20">
        <f>24000*G11</f>
        <v>18000</v>
      </c>
      <c r="H24" s="21"/>
      <c r="I24" s="19">
        <f>J24+K24</f>
        <v>18000</v>
      </c>
      <c r="J24" s="20">
        <f>24000*J11</f>
        <v>18000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18000</v>
      </c>
    </row>
    <row r="25" spans="1:16" ht="15">
      <c r="A25" s="26"/>
      <c r="B25" s="27"/>
      <c r="C25" s="27">
        <v>851794.5400000002</v>
      </c>
      <c r="D25" s="27">
        <v>142730</v>
      </c>
      <c r="E25" s="28">
        <v>709064.54</v>
      </c>
      <c r="F25" s="27">
        <f>SUM(F14:F24)</f>
        <v>2909528.9</v>
      </c>
      <c r="G25" s="27">
        <f>SUM(G14:G24)</f>
        <v>620576.23</v>
      </c>
      <c r="H25" s="28">
        <v>2288952.67</v>
      </c>
      <c r="I25" s="27">
        <f>SUM(I14:I24)</f>
        <v>3013327.98</v>
      </c>
      <c r="J25" s="27">
        <f>SUM(J14:J24)</f>
        <v>678135.63</v>
      </c>
      <c r="K25" s="28">
        <v>2335192.35</v>
      </c>
      <c r="L25" s="27">
        <f>SUM(L14:L24)</f>
        <v>747995.46</v>
      </c>
      <c r="M25" s="27">
        <f>SUM(M14:M24)</f>
        <v>85170.59999999998</v>
      </c>
      <c r="N25" s="28">
        <v>662824.8600000001</v>
      </c>
      <c r="O25" s="27">
        <v>2586906.0548</v>
      </c>
      <c r="P25" s="27">
        <f>SUM(P14:P24)</f>
        <v>307370.3451999998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174129.59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1364.73</v>
      </c>
      <c r="M33" s="68"/>
      <c r="N33" s="68"/>
      <c r="O33" s="68"/>
      <c r="P33" s="31"/>
    </row>
    <row r="34" spans="1:16" ht="15">
      <c r="A34" s="35" t="s">
        <v>34</v>
      </c>
      <c r="B34" s="59" t="s">
        <v>90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16500</v>
      </c>
      <c r="M34" s="68"/>
      <c r="N34" s="68"/>
      <c r="O34" s="68"/>
      <c r="P34" s="31"/>
    </row>
    <row r="35" spans="1:16" ht="15">
      <c r="A35" s="35" t="s">
        <v>34</v>
      </c>
      <c r="B35" s="59" t="s">
        <v>95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146888</v>
      </c>
      <c r="M35" s="68"/>
      <c r="N35" s="68"/>
      <c r="O35" s="68"/>
      <c r="P35" s="31"/>
    </row>
    <row r="36" spans="1:16" ht="15">
      <c r="A36" s="35" t="s">
        <v>34</v>
      </c>
      <c r="B36" s="59" t="s">
        <v>120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948.78</v>
      </c>
      <c r="M36" s="68"/>
      <c r="N36" s="68"/>
      <c r="O36" s="68"/>
      <c r="P36" s="31"/>
    </row>
    <row r="37" spans="1:16" ht="15">
      <c r="A37" s="35" t="s">
        <v>34</v>
      </c>
      <c r="B37" s="59" t="s">
        <v>91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1650</v>
      </c>
      <c r="M37" s="68"/>
      <c r="N37" s="68"/>
      <c r="O37" s="68"/>
      <c r="P37" s="31"/>
    </row>
    <row r="38" spans="1:16" ht="15">
      <c r="A38" s="35" t="s">
        <v>34</v>
      </c>
      <c r="B38" s="59" t="s">
        <v>79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960</v>
      </c>
      <c r="M38" s="68"/>
      <c r="N38" s="68"/>
      <c r="O38" s="68"/>
      <c r="P38" s="31"/>
    </row>
    <row r="39" spans="1:16" ht="15">
      <c r="A39" s="35" t="s">
        <v>34</v>
      </c>
      <c r="B39" s="59" t="s">
        <v>38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5818.08</v>
      </c>
      <c r="M39" s="68"/>
      <c r="N39" s="68"/>
      <c r="O39" s="68"/>
      <c r="P39" s="44"/>
    </row>
    <row r="40" spans="1:16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69"/>
      <c r="M40" s="69"/>
      <c r="N40" s="69"/>
      <c r="O40" s="69"/>
      <c r="P40" s="44"/>
    </row>
    <row r="41" spans="1:16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44"/>
    </row>
    <row r="42" spans="1:15" ht="15">
      <c r="A42" s="39" t="s">
        <v>39</v>
      </c>
      <c r="B42" s="40" t="s">
        <v>40</v>
      </c>
      <c r="C42" s="40"/>
      <c r="D42" s="40"/>
      <c r="E42" s="40"/>
      <c r="F42" s="40"/>
      <c r="G42" s="40"/>
      <c r="H42" s="40"/>
      <c r="I42" s="40"/>
      <c r="J42" s="40"/>
      <c r="K42" s="40"/>
      <c r="L42" s="70">
        <f>P25</f>
        <v>307370.3451999998</v>
      </c>
      <c r="M42" s="71"/>
      <c r="N42" s="71"/>
      <c r="O42" s="72"/>
    </row>
    <row r="43" spans="1:16" ht="15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5" ht="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2"/>
    </row>
    <row r="45" spans="2:16" ht="15">
      <c r="B45" s="43" t="s">
        <v>45</v>
      </c>
      <c r="C45" s="43"/>
      <c r="D45" s="43"/>
      <c r="E45" s="43"/>
      <c r="F45" s="43"/>
      <c r="G45" s="43"/>
      <c r="H45" s="43"/>
      <c r="I45" s="43"/>
      <c r="J45" s="43"/>
      <c r="K45" s="43"/>
      <c r="L45" s="43" t="s">
        <v>41</v>
      </c>
      <c r="M45" s="43"/>
      <c r="N45" s="43"/>
      <c r="O45" s="6"/>
      <c r="P45" s="3"/>
    </row>
  </sheetData>
  <sheetProtection/>
  <mergeCells count="29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39:O39"/>
    <mergeCell ref="L40:O40"/>
    <mergeCell ref="L42:O42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3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72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3294.7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1.0528947960884094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98143.09999999999</v>
      </c>
      <c r="D14" s="20"/>
      <c r="E14" s="21">
        <v>98143.09999999999</v>
      </c>
      <c r="F14" s="19">
        <f>G14+H14</f>
        <v>515159.39999999997</v>
      </c>
      <c r="G14" s="20"/>
      <c r="H14" s="21">
        <v>515159.39999999997</v>
      </c>
      <c r="I14" s="19">
        <f>J14+K14</f>
        <v>541429.7000000001</v>
      </c>
      <c r="J14" s="20"/>
      <c r="K14" s="21">
        <v>541429.7000000001</v>
      </c>
      <c r="L14" s="19">
        <f>M14+N14</f>
        <v>71872.79999999993</v>
      </c>
      <c r="M14" s="20">
        <f>D14+G14-J14</f>
        <v>0</v>
      </c>
      <c r="N14" s="21">
        <v>71872.79999999993</v>
      </c>
      <c r="O14" s="22">
        <v>495077.2115</v>
      </c>
      <c r="P14" s="62">
        <f>F14-O14</f>
        <v>20082.18849999999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6080.74</v>
      </c>
      <c r="D15" s="20"/>
      <c r="E15" s="21">
        <v>6080.74</v>
      </c>
      <c r="F15" s="19">
        <v>8150.84</v>
      </c>
      <c r="G15" s="20"/>
      <c r="H15" s="21">
        <v>8150.84</v>
      </c>
      <c r="I15" s="19">
        <v>12230.68</v>
      </c>
      <c r="J15" s="20"/>
      <c r="K15" s="21">
        <v>12230.68</v>
      </c>
      <c r="L15" s="19">
        <v>2000.8999999999996</v>
      </c>
      <c r="M15" s="20">
        <v>0</v>
      </c>
      <c r="N15" s="21">
        <v>2000.8999999999996</v>
      </c>
      <c r="O15" s="22">
        <f>5830.48+2320.36</f>
        <v>8150.84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40033.45</v>
      </c>
      <c r="D16" s="20"/>
      <c r="E16" s="21">
        <v>40033.45</v>
      </c>
      <c r="F16" s="19">
        <v>142381.44</v>
      </c>
      <c r="G16" s="20"/>
      <c r="H16" s="21">
        <v>142381.44</v>
      </c>
      <c r="I16" s="19">
        <v>146461.75</v>
      </c>
      <c r="J16" s="20"/>
      <c r="K16" s="21">
        <v>146461.75</v>
      </c>
      <c r="L16" s="19">
        <v>35953.140000000014</v>
      </c>
      <c r="M16" s="20">
        <v>0</v>
      </c>
      <c r="N16" s="21">
        <v>35953.140000000014</v>
      </c>
      <c r="O16" s="22">
        <v>138855.79895000003</v>
      </c>
      <c r="P16" s="65">
        <v>3525.6410499999765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12089.57</v>
      </c>
      <c r="D22" s="20"/>
      <c r="E22" s="21">
        <v>12089.57</v>
      </c>
      <c r="F22" s="19">
        <v>67211.88</v>
      </c>
      <c r="G22" s="20"/>
      <c r="H22" s="21">
        <v>67211.88</v>
      </c>
      <c r="I22" s="19">
        <v>70264.44</v>
      </c>
      <c r="J22" s="20"/>
      <c r="K22" s="21">
        <v>70264.44</v>
      </c>
      <c r="L22" s="19">
        <v>9037.01000000001</v>
      </c>
      <c r="M22" s="20">
        <v>0</v>
      </c>
      <c r="N22" s="21">
        <v>9037.01000000001</v>
      </c>
      <c r="O22" s="22">
        <v>67211.88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f>G24+H24</f>
        <v>2700</v>
      </c>
      <c r="G24" s="20">
        <f>3600*G11</f>
        <v>2700</v>
      </c>
      <c r="H24" s="21"/>
      <c r="I24" s="19">
        <f>J24+K24</f>
        <v>2700</v>
      </c>
      <c r="J24" s="20">
        <f>3600*J11</f>
        <v>2700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2700</v>
      </c>
    </row>
    <row r="25" spans="1:16" ht="15">
      <c r="A25" s="26"/>
      <c r="B25" s="27"/>
      <c r="C25" s="27">
        <f>SUM(C14:C24)</f>
        <v>156346.86</v>
      </c>
      <c r="D25" s="27"/>
      <c r="E25" s="28">
        <v>156346.86</v>
      </c>
      <c r="F25" s="27">
        <f>SUM(F14:F24)</f>
        <v>735603.5599999999</v>
      </c>
      <c r="G25" s="27">
        <f>SUM(G14:G24)</f>
        <v>2700</v>
      </c>
      <c r="H25" s="28">
        <v>732903.5599999999</v>
      </c>
      <c r="I25" s="27">
        <f>SUM(I14:I24)</f>
        <v>773086.5700000001</v>
      </c>
      <c r="J25" s="27">
        <f>SUM(J14:J24)</f>
        <v>2700</v>
      </c>
      <c r="K25" s="28">
        <v>770386.5700000001</v>
      </c>
      <c r="L25" s="27">
        <f>SUM(L14:L24)</f>
        <v>118863.84999999995</v>
      </c>
      <c r="M25" s="27">
        <f>SUM(M14:M24)</f>
        <v>0</v>
      </c>
      <c r="N25" s="28">
        <v>118863.84999999995</v>
      </c>
      <c r="O25" s="27">
        <v>706975.3704499999</v>
      </c>
      <c r="P25" s="27">
        <f>SUM(P14:P24)</f>
        <v>26307.829549999966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93363.94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1364.73</v>
      </c>
      <c r="M33" s="68"/>
      <c r="N33" s="68"/>
      <c r="O33" s="68"/>
      <c r="P33" s="31"/>
    </row>
    <row r="34" spans="1:16" ht="15">
      <c r="A34" s="35" t="s">
        <v>34</v>
      </c>
      <c r="B34" s="59" t="s">
        <v>37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23818.83</v>
      </c>
      <c r="M34" s="68"/>
      <c r="N34" s="68"/>
      <c r="O34" s="68"/>
      <c r="P34" s="31"/>
    </row>
    <row r="35" spans="1:16" ht="15">
      <c r="A35" s="35" t="s">
        <v>34</v>
      </c>
      <c r="B35" s="59" t="s">
        <v>82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60000</v>
      </c>
      <c r="M35" s="68"/>
      <c r="N35" s="68"/>
      <c r="O35" s="68"/>
      <c r="P35" s="31"/>
    </row>
    <row r="36" spans="1:16" ht="15">
      <c r="A36" s="35" t="s">
        <v>34</v>
      </c>
      <c r="B36" s="59" t="s">
        <v>84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7000</v>
      </c>
      <c r="M36" s="68"/>
      <c r="N36" s="68"/>
      <c r="O36" s="68"/>
      <c r="P36" s="44"/>
    </row>
    <row r="37" spans="1:16" ht="15">
      <c r="A37" s="35" t="s">
        <v>34</v>
      </c>
      <c r="B37" s="59" t="s">
        <v>38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1180.38</v>
      </c>
      <c r="M37" s="68"/>
      <c r="N37" s="68"/>
      <c r="O37" s="68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26307.829549999966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7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73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5193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817.6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0.9882484796278178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197306.44</v>
      </c>
      <c r="D14" s="20">
        <v>93778</v>
      </c>
      <c r="E14" s="21">
        <v>103528.43999999999</v>
      </c>
      <c r="F14" s="19">
        <f>G14+H14</f>
        <v>906566.4</v>
      </c>
      <c r="G14" s="20">
        <v>125123.76</v>
      </c>
      <c r="H14" s="21">
        <v>781442.64</v>
      </c>
      <c r="I14" s="19">
        <f>J14+K14</f>
        <v>914652.08</v>
      </c>
      <c r="J14" s="20">
        <v>91600.6</v>
      </c>
      <c r="K14" s="21">
        <v>823051.48</v>
      </c>
      <c r="L14" s="19">
        <f>M14+N14</f>
        <v>189220.75999999998</v>
      </c>
      <c r="M14" s="20">
        <f>D14+G14-J14</f>
        <v>127301.16</v>
      </c>
      <c r="N14" s="21">
        <v>61919.59999999998</v>
      </c>
      <c r="O14" s="22">
        <v>690128.2973999999</v>
      </c>
      <c r="P14" s="62">
        <f>F14-O14</f>
        <v>216438.1026000001</v>
      </c>
    </row>
    <row r="15" spans="1:16" ht="45">
      <c r="A15" s="17">
        <v>2</v>
      </c>
      <c r="B15" s="18" t="s">
        <v>17</v>
      </c>
      <c r="C15" s="19">
        <v>5789.6</v>
      </c>
      <c r="D15" s="20"/>
      <c r="E15" s="21">
        <v>5789.6</v>
      </c>
      <c r="F15" s="19">
        <f aca="true" t="shared" si="0" ref="F15:F24">G15+H15</f>
        <v>12206.83</v>
      </c>
      <c r="G15" s="20"/>
      <c r="H15" s="21">
        <v>12206.83</v>
      </c>
      <c r="I15" s="19">
        <f aca="true" t="shared" si="1" ref="I15:I24">J15+K15</f>
        <v>17218.58</v>
      </c>
      <c r="J15" s="20"/>
      <c r="K15" s="21">
        <v>17218.58</v>
      </c>
      <c r="L15" s="19">
        <v>777.8499999999985</v>
      </c>
      <c r="M15" s="20">
        <v>0</v>
      </c>
      <c r="N15" s="21">
        <v>777.8499999999985</v>
      </c>
      <c r="O15" s="22">
        <f>9029.63+3177.2</f>
        <v>12206.829999999998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28883.4</v>
      </c>
      <c r="D16" s="20"/>
      <c r="E16" s="21">
        <v>28883.4</v>
      </c>
      <c r="F16" s="19">
        <f t="shared" si="0"/>
        <v>232439.04</v>
      </c>
      <c r="G16" s="20"/>
      <c r="H16" s="21">
        <v>232439.04</v>
      </c>
      <c r="I16" s="19">
        <f t="shared" si="1"/>
        <v>244609.92</v>
      </c>
      <c r="J16" s="20"/>
      <c r="K16" s="21">
        <v>244609.92</v>
      </c>
      <c r="L16" s="19">
        <v>16712.51999999999</v>
      </c>
      <c r="M16" s="20">
        <v>0</v>
      </c>
      <c r="N16" s="21">
        <v>16712.51999999999</v>
      </c>
      <c r="O16" s="22">
        <v>225872.0612</v>
      </c>
      <c r="P16" s="62">
        <v>6566.978800000012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-624.84</v>
      </c>
      <c r="M17" s="20">
        <v>0</v>
      </c>
      <c r="N17" s="21">
        <v>-624.84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120489</v>
      </c>
      <c r="D18" s="20">
        <v>120489</v>
      </c>
      <c r="E18" s="21"/>
      <c r="F18" s="19">
        <f t="shared" si="0"/>
        <v>192381.67</v>
      </c>
      <c r="G18" s="24">
        <v>192381.67</v>
      </c>
      <c r="H18" s="21"/>
      <c r="I18" s="19">
        <f t="shared" si="1"/>
        <v>130803.62</v>
      </c>
      <c r="J18" s="20">
        <v>130803.62</v>
      </c>
      <c r="K18" s="21"/>
      <c r="L18" s="19">
        <f>M18+N18</f>
        <v>182067.05000000005</v>
      </c>
      <c r="M18" s="20">
        <f>D18+G18-J18</f>
        <v>182067.05000000005</v>
      </c>
      <c r="N18" s="21">
        <v>0</v>
      </c>
      <c r="O18" s="22">
        <v>192381.67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12560.55</v>
      </c>
      <c r="D22" s="20"/>
      <c r="E22" s="21">
        <v>12560.55</v>
      </c>
      <c r="F22" s="19">
        <f t="shared" si="0"/>
        <v>105937.2</v>
      </c>
      <c r="G22" s="20"/>
      <c r="H22" s="21">
        <v>105937.2</v>
      </c>
      <c r="I22" s="19">
        <f t="shared" si="1"/>
        <v>111195.08</v>
      </c>
      <c r="J22" s="20"/>
      <c r="K22" s="21">
        <v>111195.08</v>
      </c>
      <c r="L22" s="19">
        <v>7302.669999999998</v>
      </c>
      <c r="M22" s="20">
        <v>0</v>
      </c>
      <c r="N22" s="21">
        <v>7302.669999999998</v>
      </c>
      <c r="O22" s="22">
        <v>105937.2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9000</v>
      </c>
      <c r="G24" s="20">
        <f>12000*G11</f>
        <v>9000</v>
      </c>
      <c r="H24" s="21"/>
      <c r="I24" s="19">
        <f t="shared" si="1"/>
        <v>9000</v>
      </c>
      <c r="J24" s="20">
        <f>12000*J11</f>
        <v>9000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9000</v>
      </c>
    </row>
    <row r="25" spans="1:16" ht="15">
      <c r="A25" s="26"/>
      <c r="B25" s="27"/>
      <c r="C25" s="27">
        <v>365028.99</v>
      </c>
      <c r="D25" s="27">
        <v>214267</v>
      </c>
      <c r="E25" s="28">
        <v>150761.99</v>
      </c>
      <c r="F25" s="27">
        <f>SUM(F14:F24)</f>
        <v>1458531.14</v>
      </c>
      <c r="G25" s="27">
        <f>SUM(G14:G24)</f>
        <v>326505.43</v>
      </c>
      <c r="H25" s="28">
        <v>1132025.71</v>
      </c>
      <c r="I25" s="27">
        <f>SUM(I14:I24)</f>
        <v>1427479.2799999998</v>
      </c>
      <c r="J25" s="27">
        <f>SUM(J14:J24)</f>
        <v>231404.22</v>
      </c>
      <c r="K25" s="28">
        <v>1196075.06</v>
      </c>
      <c r="L25" s="27">
        <f>SUM(L14:L24)</f>
        <v>395456.01</v>
      </c>
      <c r="M25" s="27">
        <f>SUM(M14:M24)</f>
        <v>309368.2100000001</v>
      </c>
      <c r="N25" s="28">
        <v>86087.79999999997</v>
      </c>
      <c r="O25" s="27">
        <v>1223056.6286</v>
      </c>
      <c r="P25" s="27">
        <f>SUM(P14:P24)</f>
        <v>232005.0814000001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11821.039999999999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1364.73</v>
      </c>
      <c r="M33" s="68"/>
      <c r="N33" s="68"/>
      <c r="O33" s="68"/>
      <c r="P33" s="31"/>
    </row>
    <row r="34" spans="1:16" ht="15">
      <c r="A34" s="35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960</v>
      </c>
      <c r="M34" s="68"/>
      <c r="N34" s="68"/>
      <c r="O34" s="68"/>
      <c r="P34" s="31"/>
    </row>
    <row r="35" spans="1:16" ht="15">
      <c r="A35" s="35" t="s">
        <v>34</v>
      </c>
      <c r="B35" s="59" t="s">
        <v>108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8625</v>
      </c>
      <c r="M35" s="68"/>
      <c r="N35" s="68"/>
      <c r="O35" s="68"/>
      <c r="P35" s="31"/>
    </row>
    <row r="36" spans="1:16" ht="15">
      <c r="A36" s="35" t="s">
        <v>34</v>
      </c>
      <c r="B36" s="59" t="s">
        <v>38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871.31</v>
      </c>
      <c r="M36" s="68"/>
      <c r="N36" s="68"/>
      <c r="O36" s="68"/>
      <c r="P36" s="44"/>
    </row>
    <row r="37" spans="1:16" ht="15">
      <c r="A37" s="35"/>
      <c r="B37" s="59"/>
      <c r="C37" s="60"/>
      <c r="D37" s="61"/>
      <c r="E37" s="58"/>
      <c r="F37" s="58"/>
      <c r="G37" s="58"/>
      <c r="H37" s="58"/>
      <c r="I37" s="58"/>
      <c r="J37" s="58"/>
      <c r="K37" s="58"/>
      <c r="L37" s="74"/>
      <c r="M37" s="74"/>
      <c r="N37" s="74"/>
      <c r="O37" s="74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232005.0814000001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A7">
      <selection activeCell="L36" sqref="L36:O36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74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2900.4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0.8833066455170789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8.7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16601.52</v>
      </c>
      <c r="D14" s="20"/>
      <c r="E14" s="21">
        <v>16601.52</v>
      </c>
      <c r="F14" s="19">
        <v>437581.19999999995</v>
      </c>
      <c r="G14" s="20"/>
      <c r="H14" s="21">
        <v>437581.19999999995</v>
      </c>
      <c r="I14" s="19">
        <v>385991.47</v>
      </c>
      <c r="J14" s="20"/>
      <c r="K14" s="21">
        <v>385991.47</v>
      </c>
      <c r="L14" s="19">
        <v>68751.25</v>
      </c>
      <c r="M14" s="20">
        <v>560</v>
      </c>
      <c r="N14" s="21">
        <v>68191.25</v>
      </c>
      <c r="O14" s="22">
        <v>329551.65875</v>
      </c>
      <c r="P14" s="62">
        <f>F14-O14</f>
        <v>108029.54124999995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-469.95</v>
      </c>
      <c r="D15" s="20"/>
      <c r="E15" s="21">
        <v>-469.95</v>
      </c>
      <c r="F15" s="19">
        <v>1439.9</v>
      </c>
      <c r="G15" s="20"/>
      <c r="H15" s="21">
        <v>1439.9</v>
      </c>
      <c r="I15" s="19">
        <v>1770.35</v>
      </c>
      <c r="J15" s="20"/>
      <c r="K15" s="21">
        <v>1770.35</v>
      </c>
      <c r="L15" s="19">
        <v>442.5999999999999</v>
      </c>
      <c r="M15" s="20">
        <v>1243</v>
      </c>
      <c r="N15" s="21">
        <v>-800.3999999999999</v>
      </c>
      <c r="O15" s="22">
        <f>1749.16-309.26</f>
        <v>1439.9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2252.23</v>
      </c>
      <c r="D22" s="20"/>
      <c r="E22" s="21">
        <v>2252.23</v>
      </c>
      <c r="F22" s="19">
        <v>59321.16</v>
      </c>
      <c r="G22" s="20"/>
      <c r="H22" s="21">
        <v>59321.16</v>
      </c>
      <c r="I22" s="19">
        <v>52427.21</v>
      </c>
      <c r="J22" s="20"/>
      <c r="K22" s="21">
        <v>52427.21</v>
      </c>
      <c r="L22" s="19">
        <v>9146.180000000008</v>
      </c>
      <c r="M22" s="20">
        <v>0</v>
      </c>
      <c r="N22" s="21">
        <v>9146.180000000008</v>
      </c>
      <c r="O22" s="22">
        <v>59321.16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v>0</v>
      </c>
      <c r="G24" s="20"/>
      <c r="H24" s="21"/>
      <c r="I24" s="19">
        <v>0</v>
      </c>
      <c r="J24" s="20"/>
      <c r="K24" s="21"/>
      <c r="L24" s="19">
        <v>0</v>
      </c>
      <c r="M24" s="20">
        <v>0</v>
      </c>
      <c r="N24" s="21">
        <v>0</v>
      </c>
      <c r="O24" s="22">
        <v>0</v>
      </c>
      <c r="P24" s="62">
        <v>0</v>
      </c>
    </row>
    <row r="25" spans="1:16" ht="15">
      <c r="A25" s="26"/>
      <c r="B25" s="27"/>
      <c r="C25" s="27">
        <f>SUM(C14:C24)</f>
        <v>18383.8</v>
      </c>
      <c r="D25" s="27"/>
      <c r="E25" s="28">
        <v>18383.8</v>
      </c>
      <c r="F25" s="27">
        <v>498342.26</v>
      </c>
      <c r="G25" s="27">
        <v>0</v>
      </c>
      <c r="H25" s="28">
        <v>498342.26</v>
      </c>
      <c r="I25" s="27">
        <v>440189.02999999997</v>
      </c>
      <c r="J25" s="27">
        <v>0</v>
      </c>
      <c r="K25" s="28">
        <v>440189.02999999997</v>
      </c>
      <c r="L25" s="27">
        <v>78340.03000000001</v>
      </c>
      <c r="M25" s="27">
        <v>1803</v>
      </c>
      <c r="N25" s="28">
        <v>76537.03000000001</v>
      </c>
      <c r="O25" s="27">
        <v>390621.97875</v>
      </c>
      <c r="P25" s="27">
        <f>SUM(P14:P24)</f>
        <v>108029.54124999995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2249.02</v>
      </c>
      <c r="M32" s="77"/>
      <c r="N32" s="77"/>
      <c r="O32" s="78"/>
      <c r="P32" s="31"/>
    </row>
    <row r="33" spans="1:16" ht="15">
      <c r="A33" s="35" t="s">
        <v>34</v>
      </c>
      <c r="B33" s="59" t="s">
        <v>38</v>
      </c>
      <c r="C33" s="60"/>
      <c r="D33" s="61"/>
      <c r="E33" s="58"/>
      <c r="F33" s="58"/>
      <c r="G33" s="58"/>
      <c r="H33" s="58"/>
      <c r="I33" s="58"/>
      <c r="J33" s="58"/>
      <c r="K33" s="58"/>
      <c r="L33" s="74">
        <v>2249.02</v>
      </c>
      <c r="M33" s="74"/>
      <c r="N33" s="74"/>
      <c r="O33" s="74"/>
      <c r="P33" s="31"/>
    </row>
    <row r="34" spans="1:16" ht="1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69"/>
      <c r="M34" s="69"/>
      <c r="N34" s="69"/>
      <c r="O34" s="69"/>
      <c r="P34" s="44"/>
    </row>
    <row r="35" spans="1:16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8"/>
      <c r="N35" s="38"/>
      <c r="O35" s="38"/>
      <c r="P35" s="44"/>
    </row>
    <row r="36" spans="1:15" ht="15">
      <c r="A36" s="39" t="s">
        <v>39</v>
      </c>
      <c r="B36" s="40" t="s">
        <v>40</v>
      </c>
      <c r="C36" s="40"/>
      <c r="D36" s="40"/>
      <c r="E36" s="40"/>
      <c r="F36" s="40"/>
      <c r="G36" s="40"/>
      <c r="H36" s="40"/>
      <c r="I36" s="40"/>
      <c r="J36" s="40"/>
      <c r="K36" s="40"/>
      <c r="L36" s="70">
        <f>P25</f>
        <v>108029.54124999995</v>
      </c>
      <c r="M36" s="71"/>
      <c r="N36" s="71"/>
      <c r="O36" s="72"/>
    </row>
    <row r="37" spans="1:16" ht="15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5" ht="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  <c r="N38" s="41"/>
      <c r="O38" s="42"/>
    </row>
    <row r="39" spans="2:16" ht="15">
      <c r="B39" s="43" t="s">
        <v>45</v>
      </c>
      <c r="C39" s="43"/>
      <c r="D39" s="43"/>
      <c r="E39" s="43"/>
      <c r="F39" s="43"/>
      <c r="G39" s="43"/>
      <c r="H39" s="43"/>
      <c r="I39" s="43"/>
      <c r="J39" s="43"/>
      <c r="K39" s="43"/>
      <c r="L39" s="43" t="s">
        <v>41</v>
      </c>
      <c r="M39" s="43"/>
      <c r="N39" s="43"/>
      <c r="O39" s="6"/>
      <c r="P39" s="3"/>
    </row>
  </sheetData>
  <sheetProtection/>
  <mergeCells count="23">
    <mergeCell ref="A1:O1"/>
    <mergeCell ref="A2:O2"/>
    <mergeCell ref="A12:A13"/>
    <mergeCell ref="B12:B13"/>
    <mergeCell ref="C12:C13"/>
    <mergeCell ref="D12:E12"/>
    <mergeCell ref="B29:K29"/>
    <mergeCell ref="B30:K30"/>
    <mergeCell ref="L30:O30"/>
    <mergeCell ref="B32:K32"/>
    <mergeCell ref="L32:O32"/>
    <mergeCell ref="F12:F13"/>
    <mergeCell ref="G12:H12"/>
    <mergeCell ref="I12:I13"/>
    <mergeCell ref="J12:K12"/>
    <mergeCell ref="L12:L13"/>
    <mergeCell ref="L33:O33"/>
    <mergeCell ref="L34:O34"/>
    <mergeCell ref="L36:O36"/>
    <mergeCell ref="L29:O29"/>
    <mergeCell ref="O12:O13"/>
    <mergeCell ref="P12:P13"/>
    <mergeCell ref="M12:N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7">
      <selection activeCell="L38" sqref="L38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75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2407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532.2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0.9388684399244995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0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71667.32</v>
      </c>
      <c r="D14" s="20">
        <v>21322</v>
      </c>
      <c r="E14" s="21">
        <v>50345.32</v>
      </c>
      <c r="F14" s="19">
        <f>G14+H14</f>
        <v>445228.68</v>
      </c>
      <c r="G14" s="20">
        <v>83023.2</v>
      </c>
      <c r="H14" s="21">
        <v>362205.48</v>
      </c>
      <c r="I14" s="19">
        <v>399545.63</v>
      </c>
      <c r="J14" s="20">
        <v>40615.56</v>
      </c>
      <c r="K14" s="21">
        <v>358930.07</v>
      </c>
      <c r="L14" s="19">
        <v>117350.37</v>
      </c>
      <c r="M14" s="20">
        <v>63729.64</v>
      </c>
      <c r="N14" s="21">
        <v>53620.72999999998</v>
      </c>
      <c r="O14" s="22">
        <v>328897.31314999994</v>
      </c>
      <c r="P14" s="62">
        <f>F14-O14</f>
        <v>116331.36685000005</v>
      </c>
    </row>
    <row r="15" spans="1:16" ht="45">
      <c r="A15" s="17">
        <v>2</v>
      </c>
      <c r="B15" s="18" t="s">
        <v>17</v>
      </c>
      <c r="C15" s="19">
        <v>1870.53</v>
      </c>
      <c r="D15" s="20"/>
      <c r="E15" s="21">
        <v>1870.53</v>
      </c>
      <c r="F15" s="19">
        <v>4527.5</v>
      </c>
      <c r="G15" s="20"/>
      <c r="H15" s="21">
        <v>4527.5</v>
      </c>
      <c r="I15" s="19">
        <v>6299.31</v>
      </c>
      <c r="J15" s="20"/>
      <c r="K15" s="21">
        <v>6299.31</v>
      </c>
      <c r="L15" s="19">
        <v>98.71999999999935</v>
      </c>
      <c r="M15" s="20">
        <v>0</v>
      </c>
      <c r="N15" s="21">
        <v>98.71999999999935</v>
      </c>
      <c r="O15" s="22">
        <f>3133.26+1394.24</f>
        <v>4527.5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13536</v>
      </c>
      <c r="D18" s="20">
        <v>13536</v>
      </c>
      <c r="E18" s="21"/>
      <c r="F18" s="19">
        <v>6822.7</v>
      </c>
      <c r="G18" s="24">
        <v>6822.7</v>
      </c>
      <c r="H18" s="21"/>
      <c r="I18" s="19">
        <v>20358.81</v>
      </c>
      <c r="J18" s="20">
        <v>20358.81</v>
      </c>
      <c r="K18" s="21"/>
      <c r="L18" s="19">
        <v>-0.11000000000058208</v>
      </c>
      <c r="M18" s="20">
        <v>-0.11000000000058208</v>
      </c>
      <c r="N18" s="21">
        <v>0</v>
      </c>
      <c r="O18" s="22">
        <v>6822.7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6720.4800000000005</v>
      </c>
      <c r="D22" s="20"/>
      <c r="E22" s="21">
        <v>6720.4800000000005</v>
      </c>
      <c r="F22" s="19">
        <v>49102.8</v>
      </c>
      <c r="G22" s="20"/>
      <c r="H22" s="21">
        <v>49102.8</v>
      </c>
      <c r="I22" s="19">
        <v>48564.82</v>
      </c>
      <c r="J22" s="20"/>
      <c r="K22" s="21">
        <v>48564.82</v>
      </c>
      <c r="L22" s="19">
        <v>7258.460000000006</v>
      </c>
      <c r="M22" s="20">
        <v>0</v>
      </c>
      <c r="N22" s="21">
        <v>7258.460000000006</v>
      </c>
      <c r="O22" s="22">
        <v>49102.8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0</v>
      </c>
      <c r="G24" s="20"/>
      <c r="H24" s="21"/>
      <c r="I24" s="19">
        <v>0</v>
      </c>
      <c r="J24" s="20"/>
      <c r="K24" s="21"/>
      <c r="L24" s="19">
        <v>0</v>
      </c>
      <c r="M24" s="20">
        <v>0</v>
      </c>
      <c r="N24" s="21">
        <v>0</v>
      </c>
      <c r="O24" s="22">
        <v>0</v>
      </c>
      <c r="P24" s="62">
        <v>0</v>
      </c>
    </row>
    <row r="25" spans="1:16" ht="15">
      <c r="A25" s="26"/>
      <c r="B25" s="27"/>
      <c r="C25" s="27">
        <v>93794.33</v>
      </c>
      <c r="D25" s="27">
        <v>34858</v>
      </c>
      <c r="E25" s="28">
        <v>58936.33</v>
      </c>
      <c r="F25" s="27">
        <f>SUM(F14:F24)</f>
        <v>505681.68</v>
      </c>
      <c r="G25" s="27">
        <f>SUM(G14:G24)</f>
        <v>89845.9</v>
      </c>
      <c r="H25" s="28">
        <v>415835.77999999997</v>
      </c>
      <c r="I25" s="27">
        <v>474768.57</v>
      </c>
      <c r="J25" s="27">
        <v>60974.369999999995</v>
      </c>
      <c r="K25" s="28">
        <v>413794.2</v>
      </c>
      <c r="L25" s="27">
        <v>124707.44</v>
      </c>
      <c r="M25" s="27">
        <v>63729.53</v>
      </c>
      <c r="N25" s="28">
        <v>60977.90999999999</v>
      </c>
      <c r="O25" s="27">
        <v>381133.37314999994</v>
      </c>
      <c r="P25" s="27">
        <f>SUM(P14:P24)</f>
        <v>116331.36685000005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3910.71</v>
      </c>
      <c r="M32" s="77"/>
      <c r="N32" s="77"/>
      <c r="O32" s="78"/>
      <c r="P32" s="31"/>
    </row>
    <row r="33" spans="1:16" ht="15">
      <c r="A33" s="35" t="s">
        <v>34</v>
      </c>
      <c r="B33" s="59" t="s">
        <v>38</v>
      </c>
      <c r="C33" s="60"/>
      <c r="D33" s="61"/>
      <c r="E33" s="58"/>
      <c r="F33" s="58"/>
      <c r="G33" s="58"/>
      <c r="H33" s="58"/>
      <c r="I33" s="58"/>
      <c r="J33" s="58"/>
      <c r="K33" s="58"/>
      <c r="L33" s="74">
        <v>3910.71</v>
      </c>
      <c r="M33" s="74"/>
      <c r="N33" s="74"/>
      <c r="O33" s="74"/>
      <c r="P33" s="31"/>
    </row>
    <row r="34" spans="1:16" ht="15">
      <c r="A34" s="35" t="s">
        <v>34</v>
      </c>
      <c r="B34" s="59"/>
      <c r="C34" s="60"/>
      <c r="D34" s="61"/>
      <c r="E34" s="58"/>
      <c r="F34" s="58"/>
      <c r="G34" s="58"/>
      <c r="H34" s="58"/>
      <c r="I34" s="58"/>
      <c r="J34" s="58"/>
      <c r="K34" s="58"/>
      <c r="L34" s="74"/>
      <c r="M34" s="74"/>
      <c r="N34" s="74"/>
      <c r="O34" s="74"/>
      <c r="P34" s="31"/>
    </row>
    <row r="35" spans="1:16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9"/>
      <c r="M35" s="69"/>
      <c r="N35" s="69"/>
      <c r="O35" s="69"/>
      <c r="P35" s="44"/>
    </row>
    <row r="36" spans="1:16" ht="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44"/>
    </row>
    <row r="37" spans="1:15" ht="15">
      <c r="A37" s="39" t="s">
        <v>39</v>
      </c>
      <c r="B37" s="40" t="s">
        <v>135</v>
      </c>
      <c r="C37" s="40"/>
      <c r="D37" s="40"/>
      <c r="E37" s="40"/>
      <c r="F37" s="40"/>
      <c r="G37" s="40"/>
      <c r="H37" s="40"/>
      <c r="I37" s="40"/>
      <c r="J37" s="40"/>
      <c r="K37" s="40"/>
      <c r="L37" s="70">
        <f>P25</f>
        <v>116331.36685000005</v>
      </c>
      <c r="M37" s="71"/>
      <c r="N37" s="71"/>
      <c r="O37" s="72"/>
    </row>
    <row r="38" spans="1:16" ht="15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5" ht="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2"/>
    </row>
    <row r="40" spans="2:16" ht="15">
      <c r="B40" s="43" t="s">
        <v>45</v>
      </c>
      <c r="C40" s="43"/>
      <c r="D40" s="43"/>
      <c r="E40" s="43"/>
      <c r="F40" s="43"/>
      <c r="G40" s="43"/>
      <c r="H40" s="43"/>
      <c r="I40" s="43"/>
      <c r="J40" s="43"/>
      <c r="K40" s="43"/>
      <c r="L40" s="43" t="s">
        <v>41</v>
      </c>
      <c r="M40" s="43"/>
      <c r="N40" s="43"/>
      <c r="O40" s="6"/>
      <c r="P40" s="3"/>
    </row>
  </sheetData>
  <sheetProtection/>
  <mergeCells count="24">
    <mergeCell ref="A1:O1"/>
    <mergeCell ref="A2:O2"/>
    <mergeCell ref="A12:A13"/>
    <mergeCell ref="B12:B13"/>
    <mergeCell ref="C12:C13"/>
    <mergeCell ref="D12:E12"/>
    <mergeCell ref="F12:F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M12:N12"/>
    <mergeCell ref="L33:O33"/>
    <mergeCell ref="L34:O34"/>
    <mergeCell ref="L35:O35"/>
    <mergeCell ref="L37:O37"/>
    <mergeCell ref="L29:O29"/>
    <mergeCell ref="P12:P13"/>
    <mergeCell ref="O12:O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80" zoomScaleNormal="80" zoomScaleSheetLayoutView="80" zoomScalePageLayoutView="0" workbookViewId="0" topLeftCell="A10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4.28125" style="2" customWidth="1"/>
    <col min="7" max="7" width="14.57421875" style="2" customWidth="1" outlineLevel="1"/>
    <col min="8" max="8" width="14.7109375" style="2" customWidth="1" outlineLevel="1"/>
    <col min="9" max="9" width="14.5742187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49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7002.7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833.1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1.0472190114535334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5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209244.49000000002</v>
      </c>
      <c r="D14" s="20">
        <v>19941</v>
      </c>
      <c r="E14" s="21">
        <v>189303.49000000002</v>
      </c>
      <c r="F14" s="19">
        <f>G14+H14</f>
        <v>1183731.6</v>
      </c>
      <c r="G14" s="20">
        <v>129963.6</v>
      </c>
      <c r="H14" s="21">
        <v>1053768</v>
      </c>
      <c r="I14" s="19">
        <f>J14+K14</f>
        <v>1247796.31</v>
      </c>
      <c r="J14" s="20">
        <v>126398.08</v>
      </c>
      <c r="K14" s="21">
        <v>1121398.23</v>
      </c>
      <c r="L14" s="19">
        <f>M14+N14</f>
        <v>145179.78000000003</v>
      </c>
      <c r="M14" s="20">
        <f>D14+G14-J14</f>
        <v>23506.520000000004</v>
      </c>
      <c r="N14" s="21">
        <v>121673.26000000001</v>
      </c>
      <c r="O14" s="22">
        <v>924381.5884500002</v>
      </c>
      <c r="P14" s="62">
        <f>F14-O14</f>
        <v>259350.01154999994</v>
      </c>
    </row>
    <row r="15" spans="1:16" ht="45">
      <c r="A15" s="17">
        <v>2</v>
      </c>
      <c r="B15" s="18" t="s">
        <v>17</v>
      </c>
      <c r="C15" s="19">
        <v>9005.54</v>
      </c>
      <c r="D15" s="20"/>
      <c r="E15" s="21">
        <v>9005.54</v>
      </c>
      <c r="F15" s="19">
        <f aca="true" t="shared" si="0" ref="F15:F24">G15+H15</f>
        <v>16075.24</v>
      </c>
      <c r="G15" s="20"/>
      <c r="H15" s="21">
        <v>16075.24</v>
      </c>
      <c r="I15" s="19">
        <f aca="true" t="shared" si="1" ref="I15:I24">J15+K15</f>
        <v>23052.06</v>
      </c>
      <c r="J15" s="20"/>
      <c r="K15" s="21">
        <v>23052.06</v>
      </c>
      <c r="L15" s="19">
        <f aca="true" t="shared" si="2" ref="L15:L24">M15+N15</f>
        <v>2028.7199999999975</v>
      </c>
      <c r="M15" s="20">
        <f aca="true" t="shared" si="3" ref="M15:M24">D15+G15-J15</f>
        <v>0</v>
      </c>
      <c r="N15" s="21">
        <v>2028.7199999999975</v>
      </c>
      <c r="O15" s="22">
        <f>11331.41+4743.83</f>
        <v>16075.24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50244.97</v>
      </c>
      <c r="D16" s="20"/>
      <c r="E16" s="21">
        <v>50244.97</v>
      </c>
      <c r="F16" s="19">
        <f t="shared" si="0"/>
        <v>313442.16</v>
      </c>
      <c r="G16" s="20"/>
      <c r="H16" s="21">
        <v>313442.16</v>
      </c>
      <c r="I16" s="19">
        <f t="shared" si="1"/>
        <v>331632.55</v>
      </c>
      <c r="J16" s="20"/>
      <c r="K16" s="21">
        <v>331632.55</v>
      </c>
      <c r="L16" s="19">
        <f t="shared" si="2"/>
        <v>32054.580000000016</v>
      </c>
      <c r="M16" s="20">
        <f t="shared" si="3"/>
        <v>0</v>
      </c>
      <c r="N16" s="21">
        <v>32054.580000000016</v>
      </c>
      <c r="O16" s="22">
        <v>293906.02655</v>
      </c>
      <c r="P16" s="65">
        <v>3536.13345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f t="shared" si="2"/>
        <v>0</v>
      </c>
      <c r="M17" s="20">
        <f t="shared" si="3"/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5465.49</v>
      </c>
      <c r="D18" s="20">
        <v>3741</v>
      </c>
      <c r="E18" s="21">
        <v>1724.49</v>
      </c>
      <c r="F18" s="19">
        <f t="shared" si="0"/>
        <v>185036.35</v>
      </c>
      <c r="G18" s="24">
        <v>185036.35</v>
      </c>
      <c r="H18" s="21"/>
      <c r="I18" s="19">
        <f t="shared" si="1"/>
        <v>171115.52</v>
      </c>
      <c r="J18" s="20">
        <v>170698.5</v>
      </c>
      <c r="K18" s="21">
        <v>417.02</v>
      </c>
      <c r="L18" s="19">
        <f t="shared" si="2"/>
        <v>19386.320000000007</v>
      </c>
      <c r="M18" s="20">
        <f t="shared" si="3"/>
        <v>18078.850000000006</v>
      </c>
      <c r="N18" s="21">
        <v>1307.47</v>
      </c>
      <c r="O18" s="22">
        <v>185036.35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>
        <f t="shared" si="2"/>
        <v>0</v>
      </c>
      <c r="M19" s="20">
        <f t="shared" si="3"/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f t="shared" si="2"/>
        <v>0</v>
      </c>
      <c r="M20" s="20">
        <f t="shared" si="3"/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f t="shared" si="2"/>
        <v>0</v>
      </c>
      <c r="M21" s="20">
        <f t="shared" si="3"/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22442.09</v>
      </c>
      <c r="D22" s="20"/>
      <c r="E22" s="21">
        <v>22442.09</v>
      </c>
      <c r="F22" s="19">
        <f t="shared" si="0"/>
        <v>142855.08</v>
      </c>
      <c r="G22" s="20"/>
      <c r="H22" s="21">
        <v>142855.08</v>
      </c>
      <c r="I22" s="19">
        <f t="shared" si="1"/>
        <v>150996.96</v>
      </c>
      <c r="J22" s="20"/>
      <c r="K22" s="21">
        <v>150996.96</v>
      </c>
      <c r="L22" s="19">
        <f t="shared" si="2"/>
        <v>14300.209999999992</v>
      </c>
      <c r="M22" s="20">
        <f t="shared" si="3"/>
        <v>0</v>
      </c>
      <c r="N22" s="21">
        <v>14300.209999999992</v>
      </c>
      <c r="O22" s="22">
        <v>142855.08000000002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f t="shared" si="2"/>
        <v>0</v>
      </c>
      <c r="M23" s="20">
        <f t="shared" si="3"/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4050</v>
      </c>
      <c r="G24" s="20">
        <f>5400*G11</f>
        <v>4050</v>
      </c>
      <c r="H24" s="21"/>
      <c r="I24" s="19">
        <f t="shared" si="1"/>
        <v>4050</v>
      </c>
      <c r="J24" s="20">
        <f>5400*J11</f>
        <v>4050</v>
      </c>
      <c r="K24" s="21"/>
      <c r="L24" s="19">
        <f t="shared" si="2"/>
        <v>0</v>
      </c>
      <c r="M24" s="20">
        <f t="shared" si="3"/>
        <v>0</v>
      </c>
      <c r="N24" s="21">
        <v>0</v>
      </c>
      <c r="O24" s="22">
        <v>0</v>
      </c>
      <c r="P24" s="62">
        <f>F24-O24</f>
        <v>4050</v>
      </c>
    </row>
    <row r="25" spans="1:16" ht="15">
      <c r="A25" s="26"/>
      <c r="B25" s="27"/>
      <c r="C25" s="27">
        <v>296402.58</v>
      </c>
      <c r="D25" s="27">
        <v>23682</v>
      </c>
      <c r="E25" s="28">
        <v>272720.58</v>
      </c>
      <c r="F25" s="27">
        <f aca="true" t="shared" si="4" ref="F25:M25">SUM(F14:F24)</f>
        <v>1845190.4300000002</v>
      </c>
      <c r="G25" s="27">
        <f t="shared" si="4"/>
        <v>319049.95</v>
      </c>
      <c r="H25" s="28">
        <f t="shared" si="4"/>
        <v>1526140.48</v>
      </c>
      <c r="I25" s="27">
        <f t="shared" si="4"/>
        <v>1928643.4000000001</v>
      </c>
      <c r="J25" s="27">
        <f t="shared" si="4"/>
        <v>301146.58</v>
      </c>
      <c r="K25" s="28">
        <f t="shared" si="4"/>
        <v>1627496.82</v>
      </c>
      <c r="L25" s="27">
        <f t="shared" si="4"/>
        <v>212949.61000000004</v>
      </c>
      <c r="M25" s="27">
        <f t="shared" si="4"/>
        <v>41585.37000000001</v>
      </c>
      <c r="N25" s="28">
        <v>171364.24000000002</v>
      </c>
      <c r="O25" s="27">
        <v>1548437.5250000001</v>
      </c>
      <c r="P25" s="27">
        <f>SUM(P14:P24)</f>
        <v>266936.14499999996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42370.36</v>
      </c>
      <c r="M32" s="77"/>
      <c r="N32" s="77"/>
      <c r="O32" s="78"/>
      <c r="P32" s="31"/>
    </row>
    <row r="33" spans="1:16" ht="15">
      <c r="A33" s="35" t="s">
        <v>34</v>
      </c>
      <c r="B33" s="59" t="s">
        <v>37</v>
      </c>
      <c r="C33" s="60"/>
      <c r="D33" s="61"/>
      <c r="E33" s="58"/>
      <c r="F33" s="58"/>
      <c r="G33" s="58"/>
      <c r="H33" s="58"/>
      <c r="I33" s="58"/>
      <c r="J33" s="58"/>
      <c r="K33" s="58"/>
      <c r="L33" s="89">
        <v>37893.61</v>
      </c>
      <c r="M33" s="89"/>
      <c r="N33" s="89"/>
      <c r="O33" s="89"/>
      <c r="P33" s="31"/>
    </row>
    <row r="34" spans="1:16" ht="15">
      <c r="A34" s="35" t="s">
        <v>34</v>
      </c>
      <c r="B34" s="59" t="s">
        <v>36</v>
      </c>
      <c r="C34" s="60"/>
      <c r="D34" s="61"/>
      <c r="E34" s="58"/>
      <c r="F34" s="58"/>
      <c r="G34" s="58"/>
      <c r="H34" s="58"/>
      <c r="I34" s="58"/>
      <c r="J34" s="58"/>
      <c r="K34" s="58"/>
      <c r="L34" s="89">
        <v>829.39</v>
      </c>
      <c r="M34" s="89"/>
      <c r="N34" s="89"/>
      <c r="O34" s="89"/>
      <c r="P34" s="31"/>
    </row>
    <row r="35" spans="1:16" ht="15">
      <c r="A35" s="35" t="s">
        <v>34</v>
      </c>
      <c r="B35" s="59" t="s">
        <v>79</v>
      </c>
      <c r="C35" s="60"/>
      <c r="D35" s="61"/>
      <c r="E35" s="58"/>
      <c r="F35" s="58"/>
      <c r="G35" s="58"/>
      <c r="H35" s="58"/>
      <c r="I35" s="58"/>
      <c r="J35" s="58"/>
      <c r="K35" s="58"/>
      <c r="L35" s="89">
        <v>960</v>
      </c>
      <c r="M35" s="89"/>
      <c r="N35" s="89"/>
      <c r="O35" s="89"/>
      <c r="P35" s="31"/>
    </row>
    <row r="36" spans="1:16" ht="15">
      <c r="A36" s="35" t="s">
        <v>34</v>
      </c>
      <c r="B36" s="59" t="s">
        <v>38</v>
      </c>
      <c r="C36" s="60"/>
      <c r="D36" s="61"/>
      <c r="E36" s="58"/>
      <c r="F36" s="58"/>
      <c r="G36" s="58"/>
      <c r="H36" s="58"/>
      <c r="I36" s="58"/>
      <c r="J36" s="58"/>
      <c r="K36" s="58"/>
      <c r="L36" s="89">
        <v>2687.36</v>
      </c>
      <c r="M36" s="89"/>
      <c r="N36" s="89"/>
      <c r="O36" s="89"/>
      <c r="P36" s="44"/>
    </row>
    <row r="37" spans="1:16" ht="15">
      <c r="A37" s="35"/>
      <c r="B37" s="59"/>
      <c r="C37" s="60"/>
      <c r="D37" s="61"/>
      <c r="E37" s="58"/>
      <c r="F37" s="58"/>
      <c r="G37" s="58"/>
      <c r="H37" s="58"/>
      <c r="I37" s="58"/>
      <c r="J37" s="58"/>
      <c r="K37" s="58"/>
      <c r="L37" s="74"/>
      <c r="M37" s="74"/>
      <c r="N37" s="74"/>
      <c r="O37" s="74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266936.14499999996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P12:P13"/>
    <mergeCell ref="B29:K29"/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L36:O36"/>
    <mergeCell ref="B30:K30"/>
    <mergeCell ref="L30:O30"/>
    <mergeCell ref="L29:O29"/>
    <mergeCell ref="L37:O37"/>
    <mergeCell ref="L38:O38"/>
    <mergeCell ref="L40:O40"/>
    <mergeCell ref="B32:K32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8"/>
  <sheetViews>
    <sheetView zoomScale="80" zoomScaleNormal="80" zoomScalePageLayoutView="0" workbookViewId="0" topLeftCell="A7">
      <selection activeCell="L46" sqref="L46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76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2262.2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445.9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1.1152660687961082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8.7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106808.1</v>
      </c>
      <c r="D14" s="20">
        <v>6319</v>
      </c>
      <c r="E14" s="21">
        <v>100489.1</v>
      </c>
      <c r="F14" s="19">
        <f>G14+H14</f>
        <v>409755.98999999993</v>
      </c>
      <c r="G14" s="20">
        <v>69340.11</v>
      </c>
      <c r="H14" s="21">
        <v>340415.87999999995</v>
      </c>
      <c r="I14" s="19">
        <f>J14+K14</f>
        <v>465873.48</v>
      </c>
      <c r="J14" s="20">
        <v>70421.04</v>
      </c>
      <c r="K14" s="21">
        <v>395452.44</v>
      </c>
      <c r="L14" s="19">
        <f>M14+N14</f>
        <v>50690.609999999986</v>
      </c>
      <c r="M14" s="20">
        <f>D14+G14-J14</f>
        <v>5238.070000000007</v>
      </c>
      <c r="N14" s="21">
        <v>45452.53999999998</v>
      </c>
      <c r="O14" s="22">
        <v>851152.8205</v>
      </c>
      <c r="P14" s="62">
        <f>F14-O14</f>
        <v>-441396.8305000001</v>
      </c>
    </row>
    <row r="15" spans="1:16" ht="45">
      <c r="A15" s="17">
        <v>2</v>
      </c>
      <c r="B15" s="18" t="s">
        <v>17</v>
      </c>
      <c r="C15" s="19">
        <v>2262.13</v>
      </c>
      <c r="D15" s="20"/>
      <c r="E15" s="21">
        <v>2262.13</v>
      </c>
      <c r="F15" s="19">
        <v>2024.62</v>
      </c>
      <c r="G15" s="20"/>
      <c r="H15" s="21">
        <v>2024.62</v>
      </c>
      <c r="I15" s="19">
        <v>3973.97</v>
      </c>
      <c r="J15" s="20"/>
      <c r="K15" s="21">
        <v>3973.97</v>
      </c>
      <c r="L15" s="19">
        <v>312.7800000000002</v>
      </c>
      <c r="M15" s="20">
        <v>0</v>
      </c>
      <c r="N15" s="21">
        <v>312.7800000000002</v>
      </c>
      <c r="O15" s="22">
        <f>1431.43+593.19</f>
        <v>2024.6200000000001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11881</v>
      </c>
      <c r="D18" s="20">
        <v>11881</v>
      </c>
      <c r="E18" s="21"/>
      <c r="F18" s="19">
        <f>G18+H18</f>
        <v>101908.88</v>
      </c>
      <c r="G18" s="24">
        <v>101908.88</v>
      </c>
      <c r="H18" s="21"/>
      <c r="I18" s="19">
        <f>J18+K18</f>
        <v>101113.53</v>
      </c>
      <c r="J18" s="20">
        <v>101113.53</v>
      </c>
      <c r="K18" s="21"/>
      <c r="L18" s="19">
        <f>M18+N18</f>
        <v>12676.350000000006</v>
      </c>
      <c r="M18" s="20">
        <f>D18+G18-J18</f>
        <v>12676.350000000006</v>
      </c>
      <c r="N18" s="21">
        <v>0</v>
      </c>
      <c r="O18" s="22">
        <v>101908.88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-431</v>
      </c>
      <c r="D20" s="20">
        <v>-431</v>
      </c>
      <c r="E20" s="21"/>
      <c r="F20" s="19">
        <v>0</v>
      </c>
      <c r="G20" s="20"/>
      <c r="H20" s="21"/>
      <c r="I20" s="19">
        <v>0</v>
      </c>
      <c r="J20" s="20"/>
      <c r="K20" s="21"/>
      <c r="L20" s="19">
        <v>-431</v>
      </c>
      <c r="M20" s="20">
        <v>-431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13434.38</v>
      </c>
      <c r="D22" s="20"/>
      <c r="E22" s="21">
        <v>13434.38</v>
      </c>
      <c r="F22" s="19">
        <v>46148.88</v>
      </c>
      <c r="G22" s="20"/>
      <c r="H22" s="21">
        <v>46148.88</v>
      </c>
      <c r="I22" s="19">
        <v>53469.46</v>
      </c>
      <c r="J22" s="20"/>
      <c r="K22" s="21">
        <v>53469.46</v>
      </c>
      <c r="L22" s="19">
        <v>6113.799999999996</v>
      </c>
      <c r="M22" s="20">
        <v>0</v>
      </c>
      <c r="N22" s="21">
        <v>6113.799999999996</v>
      </c>
      <c r="O22" s="22">
        <v>46148.88</v>
      </c>
      <c r="P22" s="62">
        <f>F22-O22</f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0</v>
      </c>
      <c r="G24" s="20"/>
      <c r="H24" s="21"/>
      <c r="I24" s="19">
        <v>0</v>
      </c>
      <c r="J24" s="20"/>
      <c r="K24" s="21"/>
      <c r="L24" s="19">
        <v>0</v>
      </c>
      <c r="M24" s="20"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v>133954.61000000002</v>
      </c>
      <c r="D25" s="27">
        <v>17769</v>
      </c>
      <c r="E25" s="28">
        <v>116185.61000000002</v>
      </c>
      <c r="F25" s="27">
        <f>SUM(F14:F24)</f>
        <v>559838.3699999999</v>
      </c>
      <c r="G25" s="27">
        <f>SUM(G14:G24)</f>
        <v>171248.99</v>
      </c>
      <c r="H25" s="28">
        <v>388589.37999999995</v>
      </c>
      <c r="I25" s="27">
        <f>SUM(I14:I24)</f>
        <v>624430.44</v>
      </c>
      <c r="J25" s="27">
        <f>SUM(J14:J24)</f>
        <v>171534.57</v>
      </c>
      <c r="K25" s="28">
        <v>452895.87</v>
      </c>
      <c r="L25" s="27">
        <f>SUM(L14:L24)</f>
        <v>69362.53999999998</v>
      </c>
      <c r="M25" s="27">
        <f>SUM(M14:M24)</f>
        <v>17483.420000000013</v>
      </c>
      <c r="N25" s="28">
        <v>51879.11999999997</v>
      </c>
      <c r="O25" s="27">
        <v>963643.1305000001</v>
      </c>
      <c r="P25" s="27">
        <f>SUM(P14:P24)</f>
        <v>-441396.8305000001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94" t="s">
        <v>29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95"/>
      <c r="O31" s="95"/>
      <c r="P31" s="33"/>
    </row>
    <row r="32" spans="1:16" ht="15">
      <c r="A32" s="3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34"/>
      <c r="M32" s="34"/>
      <c r="N32" s="34"/>
      <c r="O32" s="34"/>
      <c r="P32" s="33"/>
    </row>
    <row r="33" spans="1:16" ht="15">
      <c r="A33" s="32"/>
      <c r="B33" s="91" t="s">
        <v>30</v>
      </c>
      <c r="C33" s="92"/>
      <c r="D33" s="92"/>
      <c r="E33" s="93"/>
      <c r="F33" s="58"/>
      <c r="G33" s="58"/>
      <c r="H33" s="58"/>
      <c r="I33" s="58"/>
      <c r="J33" s="58"/>
      <c r="K33" s="58"/>
      <c r="L33" s="34"/>
      <c r="M33" s="34"/>
      <c r="N33" s="34"/>
      <c r="O33" s="34"/>
      <c r="P33" s="33"/>
    </row>
    <row r="34" spans="1:16" ht="15">
      <c r="A34" s="32"/>
      <c r="B34" s="94" t="s">
        <v>31</v>
      </c>
      <c r="C34" s="94"/>
      <c r="D34" s="94"/>
      <c r="E34" s="94"/>
      <c r="F34" s="94"/>
      <c r="G34" s="94"/>
      <c r="H34" s="94"/>
      <c r="I34" s="94"/>
      <c r="J34" s="94"/>
      <c r="K34" s="94"/>
      <c r="L34" s="50"/>
      <c r="M34" s="51"/>
      <c r="N34" s="51"/>
      <c r="O34" s="52"/>
      <c r="P34" s="33"/>
    </row>
    <row r="35" spans="1:16" ht="15">
      <c r="A35" s="32"/>
      <c r="B35" s="91" t="s">
        <v>32</v>
      </c>
      <c r="C35" s="93"/>
      <c r="D35" s="58"/>
      <c r="E35" s="58"/>
      <c r="F35" s="58"/>
      <c r="G35" s="58"/>
      <c r="H35" s="58"/>
      <c r="I35" s="58"/>
      <c r="J35" s="58"/>
      <c r="K35" s="58"/>
      <c r="L35" s="68"/>
      <c r="M35" s="68"/>
      <c r="N35" s="68"/>
      <c r="O35" s="68"/>
      <c r="P35" s="33"/>
    </row>
    <row r="36" spans="1:16" ht="15">
      <c r="A36" s="32"/>
      <c r="B36" s="59"/>
      <c r="C36" s="61"/>
      <c r="D36" s="58"/>
      <c r="E36" s="58"/>
      <c r="F36" s="58"/>
      <c r="G36" s="58"/>
      <c r="H36" s="58"/>
      <c r="I36" s="58"/>
      <c r="J36" s="58"/>
      <c r="K36" s="58"/>
      <c r="L36" s="54"/>
      <c r="M36" s="54"/>
      <c r="N36" s="54"/>
      <c r="O36" s="54"/>
      <c r="P36" s="33"/>
    </row>
    <row r="37" spans="1:16" ht="15">
      <c r="A37" s="32">
        <v>2</v>
      </c>
      <c r="B37" s="75" t="s">
        <v>33</v>
      </c>
      <c r="C37" s="75"/>
      <c r="D37" s="75"/>
      <c r="E37" s="75"/>
      <c r="F37" s="75"/>
      <c r="G37" s="75"/>
      <c r="H37" s="75"/>
      <c r="I37" s="75"/>
      <c r="J37" s="75"/>
      <c r="K37" s="75"/>
      <c r="L37" s="76">
        <v>559624.76</v>
      </c>
      <c r="M37" s="77"/>
      <c r="N37" s="77"/>
      <c r="O37" s="78"/>
      <c r="P37" s="31"/>
    </row>
    <row r="38" spans="1:16" ht="15">
      <c r="A38" s="35" t="s">
        <v>34</v>
      </c>
      <c r="B38" s="59" t="s">
        <v>116</v>
      </c>
      <c r="C38" s="60"/>
      <c r="D38" s="61"/>
      <c r="E38" s="58"/>
      <c r="F38" s="58"/>
      <c r="G38" s="58"/>
      <c r="H38" s="58"/>
      <c r="I38" s="58"/>
      <c r="J38" s="58"/>
      <c r="K38" s="58"/>
      <c r="L38" s="50"/>
      <c r="M38" s="51">
        <v>494607</v>
      </c>
      <c r="N38" s="51"/>
      <c r="O38" s="52"/>
      <c r="P38" s="31"/>
    </row>
    <row r="39" spans="1:16" ht="15">
      <c r="A39" s="35" t="s">
        <v>34</v>
      </c>
      <c r="B39" s="59" t="s">
        <v>121</v>
      </c>
      <c r="C39" s="60"/>
      <c r="D39" s="61"/>
      <c r="E39" s="58"/>
      <c r="F39" s="58"/>
      <c r="G39" s="58"/>
      <c r="H39" s="58"/>
      <c r="I39" s="58"/>
      <c r="J39" s="58"/>
      <c r="K39" s="58"/>
      <c r="L39" s="50"/>
      <c r="M39" s="51">
        <v>46983.92</v>
      </c>
      <c r="N39" s="51"/>
      <c r="O39" s="52"/>
      <c r="P39" s="31"/>
    </row>
    <row r="40" spans="1:16" ht="15">
      <c r="A40" s="35" t="s">
        <v>34</v>
      </c>
      <c r="B40" s="59" t="s">
        <v>122</v>
      </c>
      <c r="C40" s="60"/>
      <c r="D40" s="61"/>
      <c r="E40" s="58"/>
      <c r="F40" s="58"/>
      <c r="G40" s="58"/>
      <c r="H40" s="58"/>
      <c r="I40" s="58"/>
      <c r="J40" s="58"/>
      <c r="K40" s="58"/>
      <c r="L40" s="50"/>
      <c r="M40" s="51">
        <v>14500</v>
      </c>
      <c r="N40" s="51"/>
      <c r="O40" s="52"/>
      <c r="P40" s="31"/>
    </row>
    <row r="41" spans="1:16" ht="15">
      <c r="A41" s="35" t="s">
        <v>34</v>
      </c>
      <c r="B41" s="59" t="s">
        <v>79</v>
      </c>
      <c r="C41" s="60"/>
      <c r="D41" s="61"/>
      <c r="E41" s="58"/>
      <c r="F41" s="58"/>
      <c r="G41" s="58"/>
      <c r="H41" s="58"/>
      <c r="I41" s="58"/>
      <c r="J41" s="58"/>
      <c r="K41" s="58"/>
      <c r="L41" s="50"/>
      <c r="M41" s="51">
        <v>960</v>
      </c>
      <c r="N41" s="51"/>
      <c r="O41" s="52"/>
      <c r="P41" s="44"/>
    </row>
    <row r="42" spans="1:16" ht="15">
      <c r="A42" s="35" t="s">
        <v>34</v>
      </c>
      <c r="B42" s="59" t="s">
        <v>38</v>
      </c>
      <c r="C42" s="60"/>
      <c r="D42" s="61"/>
      <c r="E42" s="58"/>
      <c r="F42" s="58"/>
      <c r="G42" s="58"/>
      <c r="H42" s="58"/>
      <c r="I42" s="58"/>
      <c r="J42" s="58"/>
      <c r="K42" s="58"/>
      <c r="L42" s="50"/>
      <c r="M42" s="51">
        <v>2573.84</v>
      </c>
      <c r="N42" s="51"/>
      <c r="O42" s="52"/>
      <c r="P42" s="44"/>
    </row>
    <row r="43" spans="1:16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69"/>
      <c r="M43" s="69"/>
      <c r="N43" s="69"/>
      <c r="O43" s="69"/>
      <c r="P43" s="44"/>
    </row>
    <row r="44" spans="1:16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44"/>
    </row>
    <row r="45" spans="1:15" ht="15">
      <c r="A45" s="39" t="s">
        <v>39</v>
      </c>
      <c r="B45" s="40" t="s">
        <v>135</v>
      </c>
      <c r="C45" s="40"/>
      <c r="D45" s="40"/>
      <c r="E45" s="40"/>
      <c r="F45" s="40"/>
      <c r="G45" s="40"/>
      <c r="H45" s="40"/>
      <c r="I45" s="40"/>
      <c r="J45" s="40"/>
      <c r="K45" s="40"/>
      <c r="L45" s="70">
        <f>P25</f>
        <v>-441396.8305000001</v>
      </c>
      <c r="M45" s="71"/>
      <c r="N45" s="71"/>
      <c r="O45" s="72"/>
    </row>
    <row r="46" spans="1:16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5" ht="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1"/>
      <c r="O47" s="42"/>
    </row>
    <row r="48" spans="2:16" ht="15">
      <c r="B48" s="43" t="s">
        <v>45</v>
      </c>
      <c r="C48" s="43"/>
      <c r="D48" s="43"/>
      <c r="E48" s="43"/>
      <c r="F48" s="43"/>
      <c r="G48" s="43"/>
      <c r="H48" s="43"/>
      <c r="I48" s="43"/>
      <c r="J48" s="43"/>
      <c r="K48" s="43"/>
      <c r="L48" s="43" t="s">
        <v>41</v>
      </c>
      <c r="M48" s="43"/>
      <c r="N48" s="43"/>
      <c r="O48" s="6"/>
      <c r="P48" s="3"/>
    </row>
  </sheetData>
  <sheetProtection/>
  <mergeCells count="28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L29:O29"/>
    <mergeCell ref="B30:K30"/>
    <mergeCell ref="L30:O30"/>
    <mergeCell ref="B31:K31"/>
    <mergeCell ref="L31:O31"/>
    <mergeCell ref="B33:E33"/>
    <mergeCell ref="B34:K34"/>
    <mergeCell ref="B35:C35"/>
    <mergeCell ref="L35:O35"/>
    <mergeCell ref="B37:K37"/>
    <mergeCell ref="L37:O37"/>
    <mergeCell ref="L43:O43"/>
    <mergeCell ref="L45:O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0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77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2297.4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463.2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1.0087797184379117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9.7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30609.079999999998</v>
      </c>
      <c r="D14" s="20">
        <v>6554</v>
      </c>
      <c r="E14" s="21">
        <v>24055.079999999998</v>
      </c>
      <c r="F14" s="19">
        <f>G14+H14</f>
        <v>417972.12000000005</v>
      </c>
      <c r="G14" s="20">
        <v>72259.2</v>
      </c>
      <c r="H14" s="21">
        <v>345712.92000000004</v>
      </c>
      <c r="I14" s="19">
        <f>J14+K14</f>
        <v>421050.56</v>
      </c>
      <c r="J14" s="20">
        <v>72259.2</v>
      </c>
      <c r="K14" s="21">
        <v>348791.36</v>
      </c>
      <c r="L14" s="19">
        <f>M14+N14</f>
        <v>27530.640000000072</v>
      </c>
      <c r="M14" s="20">
        <f>D14+G14-J14</f>
        <v>6554</v>
      </c>
      <c r="N14" s="21">
        <v>20976.640000000072</v>
      </c>
      <c r="O14" s="22">
        <v>715009.6942</v>
      </c>
      <c r="P14" s="62">
        <f>F14-O14</f>
        <v>-297037.5742</v>
      </c>
    </row>
    <row r="15" spans="1:16" ht="45">
      <c r="A15" s="17">
        <v>2</v>
      </c>
      <c r="B15" s="18" t="s">
        <v>17</v>
      </c>
      <c r="C15" s="19">
        <v>1038.6</v>
      </c>
      <c r="D15" s="20"/>
      <c r="E15" s="21">
        <v>1038.6</v>
      </c>
      <c r="F15" s="19">
        <v>4547.77</v>
      </c>
      <c r="G15" s="20"/>
      <c r="H15" s="21">
        <v>4547.77</v>
      </c>
      <c r="I15" s="19">
        <v>5586.37</v>
      </c>
      <c r="J15" s="20"/>
      <c r="K15" s="21">
        <v>5586.37</v>
      </c>
      <c r="L15" s="19">
        <v>0</v>
      </c>
      <c r="M15" s="20">
        <v>0</v>
      </c>
      <c r="N15" s="21">
        <v>0</v>
      </c>
      <c r="O15" s="22">
        <f>3234.64+1313.13</f>
        <v>4547.77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0</v>
      </c>
      <c r="D16" s="20"/>
      <c r="E16" s="21"/>
      <c r="F16" s="19">
        <v>0</v>
      </c>
      <c r="G16" s="20"/>
      <c r="H16" s="21"/>
      <c r="I16" s="19">
        <v>0</v>
      </c>
      <c r="J16" s="20"/>
      <c r="K16" s="21"/>
      <c r="L16" s="19">
        <v>0</v>
      </c>
      <c r="M16" s="20">
        <v>0</v>
      </c>
      <c r="N16" s="21">
        <v>0</v>
      </c>
      <c r="O16" s="22">
        <v>0</v>
      </c>
      <c r="P16" s="62">
        <v>0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3033.48</v>
      </c>
      <c r="D22" s="20"/>
      <c r="E22" s="21">
        <v>3033.48</v>
      </c>
      <c r="F22" s="19">
        <v>46866.96</v>
      </c>
      <c r="G22" s="20"/>
      <c r="H22" s="21">
        <v>46866.96</v>
      </c>
      <c r="I22" s="19">
        <v>47056</v>
      </c>
      <c r="J22" s="20"/>
      <c r="K22" s="21">
        <v>47056</v>
      </c>
      <c r="L22" s="19">
        <v>2844.4400000000023</v>
      </c>
      <c r="M22" s="20">
        <v>0</v>
      </c>
      <c r="N22" s="21">
        <v>2844.4400000000023</v>
      </c>
      <c r="O22" s="22">
        <v>46866.96</v>
      </c>
      <c r="P22" s="62">
        <v>0</v>
      </c>
    </row>
    <row r="23" spans="1:16" ht="15">
      <c r="A23" s="17">
        <v>8</v>
      </c>
      <c r="B23" s="18" t="s">
        <v>24</v>
      </c>
      <c r="C23" s="19">
        <v>6300</v>
      </c>
      <c r="D23" s="20"/>
      <c r="E23" s="21">
        <v>6300</v>
      </c>
      <c r="F23" s="19">
        <v>100800</v>
      </c>
      <c r="G23" s="20"/>
      <c r="H23" s="21">
        <v>100800</v>
      </c>
      <c r="I23" s="19">
        <v>101500</v>
      </c>
      <c r="J23" s="20"/>
      <c r="K23" s="21">
        <v>101500</v>
      </c>
      <c r="L23" s="19">
        <v>5600</v>
      </c>
      <c r="M23" s="20">
        <v>0</v>
      </c>
      <c r="N23" s="21">
        <v>5600</v>
      </c>
      <c r="O23" s="22">
        <v>148399.46</v>
      </c>
      <c r="P23" s="62">
        <v>-47599.45999999999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0</v>
      </c>
      <c r="G24" s="20"/>
      <c r="H24" s="21"/>
      <c r="I24" s="19">
        <f>J24+K24</f>
        <v>0</v>
      </c>
      <c r="J24" s="20"/>
      <c r="K24" s="21"/>
      <c r="L24" s="19">
        <f>M24+N24</f>
        <v>0</v>
      </c>
      <c r="M24" s="20">
        <v>0</v>
      </c>
      <c r="N24" s="21">
        <v>0</v>
      </c>
      <c r="O24" s="22">
        <v>0</v>
      </c>
      <c r="P24" s="62">
        <v>0</v>
      </c>
    </row>
    <row r="25" spans="1:16" ht="15">
      <c r="A25" s="26"/>
      <c r="B25" s="27"/>
      <c r="C25" s="27">
        <v>40981.159999999996</v>
      </c>
      <c r="D25" s="27">
        <v>6554</v>
      </c>
      <c r="E25" s="28">
        <v>34427.159999999996</v>
      </c>
      <c r="F25" s="27">
        <f>SUM(F14:F24)</f>
        <v>570186.8500000001</v>
      </c>
      <c r="G25" s="27">
        <f>SUM(G14:G24)</f>
        <v>72259.2</v>
      </c>
      <c r="H25" s="28">
        <v>497927.6500000001</v>
      </c>
      <c r="I25" s="27">
        <f>SUM(I14:I24)</f>
        <v>575192.9299999999</v>
      </c>
      <c r="J25" s="27">
        <f>SUM(J14:J24)</f>
        <v>72259.2</v>
      </c>
      <c r="K25" s="28">
        <v>502933.73</v>
      </c>
      <c r="L25" s="27">
        <f>SUM(L14:L24)</f>
        <v>35975.080000000075</v>
      </c>
      <c r="M25" s="27">
        <f>SUM(M14:M24)</f>
        <v>6554</v>
      </c>
      <c r="N25" s="28">
        <v>29421.080000000075</v>
      </c>
      <c r="O25" s="27">
        <f>SUM(O14:O24)</f>
        <v>914823.8842</v>
      </c>
      <c r="P25" s="27">
        <f>SUM(P14:P24)</f>
        <v>-344637.0342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19">
        <f>K27+L27</f>
        <v>0</v>
      </c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 customHeight="1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406005.25999999995</v>
      </c>
      <c r="M32" s="77"/>
      <c r="N32" s="77"/>
      <c r="O32" s="78"/>
      <c r="P32" s="31"/>
    </row>
    <row r="33" spans="1:16" ht="15">
      <c r="A33" s="35" t="s">
        <v>34</v>
      </c>
      <c r="B33" s="59" t="s">
        <v>116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391076.41</v>
      </c>
      <c r="M33" s="68"/>
      <c r="N33" s="68"/>
      <c r="O33" s="68"/>
      <c r="P33" s="31"/>
    </row>
    <row r="34" spans="1:16" ht="15">
      <c r="A34" s="35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1364.73</v>
      </c>
      <c r="M34" s="68"/>
      <c r="N34" s="68"/>
      <c r="O34" s="68"/>
      <c r="P34" s="31"/>
    </row>
    <row r="35" spans="1:16" ht="15">
      <c r="A35" s="35" t="s">
        <v>34</v>
      </c>
      <c r="B35" s="59" t="s">
        <v>123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11604.12</v>
      </c>
      <c r="M35" s="68"/>
      <c r="N35" s="68"/>
      <c r="O35" s="68"/>
      <c r="P35" s="31"/>
    </row>
    <row r="36" spans="1:16" ht="15">
      <c r="A36" s="35" t="s">
        <v>34</v>
      </c>
      <c r="B36" s="59" t="s">
        <v>91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1000</v>
      </c>
      <c r="M36" s="68"/>
      <c r="N36" s="68"/>
      <c r="O36" s="68"/>
      <c r="P36" s="44"/>
    </row>
    <row r="37" spans="1:16" ht="15">
      <c r="A37" s="35" t="s">
        <v>34</v>
      </c>
      <c r="B37" s="59" t="s">
        <v>79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960</v>
      </c>
      <c r="M37" s="68"/>
      <c r="N37" s="68"/>
      <c r="O37" s="68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139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-344637.0342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0">
      <selection activeCell="L41" sqref="L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78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3250.5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846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1.003881146968138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122947.46</v>
      </c>
      <c r="D14" s="20">
        <v>11790</v>
      </c>
      <c r="E14" s="21">
        <v>111157.46</v>
      </c>
      <c r="F14" s="19">
        <f>G14+H14</f>
        <v>622024.3500000001</v>
      </c>
      <c r="G14" s="20">
        <v>131976</v>
      </c>
      <c r="H14" s="21">
        <v>490048.35000000003</v>
      </c>
      <c r="I14" s="19">
        <f>J14+K14</f>
        <v>565598.15</v>
      </c>
      <c r="J14" s="20">
        <v>134496.7</v>
      </c>
      <c r="K14" s="21">
        <v>431101.45</v>
      </c>
      <c r="L14" s="19">
        <f>M14+N14</f>
        <v>179373.66000000003</v>
      </c>
      <c r="M14" s="20">
        <f>D14+G14-J14</f>
        <v>9269.299999999988</v>
      </c>
      <c r="N14" s="21">
        <v>170104.36000000004</v>
      </c>
      <c r="O14" s="22">
        <v>563433.066</v>
      </c>
      <c r="P14" s="62">
        <f>F14-O14</f>
        <v>58591.2840000001</v>
      </c>
    </row>
    <row r="15" spans="1:16" ht="45">
      <c r="A15" s="17">
        <v>2</v>
      </c>
      <c r="B15" s="18" t="s">
        <v>17</v>
      </c>
      <c r="C15" s="19">
        <v>2566.21</v>
      </c>
      <c r="D15" s="20"/>
      <c r="E15" s="21">
        <v>2566.21</v>
      </c>
      <c r="F15" s="19">
        <f aca="true" t="shared" si="0" ref="F15:F24">G15+H15</f>
        <v>5333.64</v>
      </c>
      <c r="G15" s="20"/>
      <c r="H15" s="21">
        <v>5333.64</v>
      </c>
      <c r="I15" s="19">
        <f aca="true" t="shared" si="1" ref="I15:I24">J15+K15</f>
        <v>128385.90000000001</v>
      </c>
      <c r="J15" s="20">
        <v>122610.8</v>
      </c>
      <c r="K15" s="21">
        <v>5775.1</v>
      </c>
      <c r="L15" s="19">
        <v>-120486.05</v>
      </c>
      <c r="M15" s="20">
        <v>-122610.8</v>
      </c>
      <c r="N15" s="21">
        <v>2124.75</v>
      </c>
      <c r="O15" s="22">
        <f>3826.14+1507.5</f>
        <v>5333.639999999999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31927.36</v>
      </c>
      <c r="D16" s="20"/>
      <c r="E16" s="21">
        <v>31927.36</v>
      </c>
      <c r="F16" s="19">
        <f t="shared" si="0"/>
        <v>135012.57</v>
      </c>
      <c r="G16" s="20"/>
      <c r="H16" s="21">
        <v>135012.57</v>
      </c>
      <c r="I16" s="19">
        <f t="shared" si="1"/>
        <v>122854.6</v>
      </c>
      <c r="J16" s="20"/>
      <c r="K16" s="21">
        <v>122854.6</v>
      </c>
      <c r="L16" s="19">
        <v>44085.32999999999</v>
      </c>
      <c r="M16" s="20">
        <v>0</v>
      </c>
      <c r="N16" s="21">
        <v>44085.32999999999</v>
      </c>
      <c r="O16" s="22">
        <v>134809.2706</v>
      </c>
      <c r="P16" s="62">
        <v>203.29940000001807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f t="shared" si="1"/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12740</v>
      </c>
      <c r="D18" s="20">
        <v>12740</v>
      </c>
      <c r="E18" s="21"/>
      <c r="F18" s="19">
        <f t="shared" si="0"/>
        <v>241043.08</v>
      </c>
      <c r="G18" s="24">
        <v>241043.08</v>
      </c>
      <c r="H18" s="21"/>
      <c r="I18" s="19">
        <f t="shared" si="1"/>
        <v>221000.1</v>
      </c>
      <c r="J18" s="20">
        <v>221000.1</v>
      </c>
      <c r="K18" s="21"/>
      <c r="L18" s="19">
        <f>M18+N18</f>
        <v>32782.97999999998</v>
      </c>
      <c r="M18" s="20">
        <f>D18+G18-J18</f>
        <v>32782.97999999998</v>
      </c>
      <c r="N18" s="21">
        <v>0</v>
      </c>
      <c r="O18" s="22">
        <v>241043.08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>
        <f t="shared" si="1"/>
        <v>0</v>
      </c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f t="shared" si="1"/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f t="shared" si="1"/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14401.41</v>
      </c>
      <c r="D22" s="20"/>
      <c r="E22" s="21">
        <v>14401.41</v>
      </c>
      <c r="F22" s="19">
        <f t="shared" si="0"/>
        <v>66433.96</v>
      </c>
      <c r="G22" s="20"/>
      <c r="H22" s="21">
        <v>66433.96</v>
      </c>
      <c r="I22" s="19">
        <f t="shared" si="1"/>
        <v>58442.77</v>
      </c>
      <c r="J22" s="20"/>
      <c r="K22" s="21">
        <v>58442.77</v>
      </c>
      <c r="L22" s="19">
        <v>22392.600000000013</v>
      </c>
      <c r="M22" s="20">
        <v>0</v>
      </c>
      <c r="N22" s="21">
        <v>22392.600000000013</v>
      </c>
      <c r="O22" s="22">
        <v>66433.96</v>
      </c>
      <c r="P22" s="62">
        <f>F22-O22</f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f t="shared" si="1"/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0</v>
      </c>
      <c r="G24" s="20"/>
      <c r="H24" s="21"/>
      <c r="I24" s="19">
        <f t="shared" si="1"/>
        <v>0</v>
      </c>
      <c r="J24" s="20"/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v>184582.44000000003</v>
      </c>
      <c r="D25" s="27">
        <v>24530</v>
      </c>
      <c r="E25" s="28">
        <v>160052.44000000003</v>
      </c>
      <c r="F25" s="27">
        <f>SUM(F14:F24)</f>
        <v>1069847.6</v>
      </c>
      <c r="G25" s="27">
        <f>SUM(G14:G24)</f>
        <v>373019.07999999996</v>
      </c>
      <c r="H25" s="28">
        <v>696828.52</v>
      </c>
      <c r="I25" s="27">
        <f>SUM(I14:I24)</f>
        <v>1096281.52</v>
      </c>
      <c r="J25" s="27">
        <f>SUM(J14:J24)</f>
        <v>478107.6</v>
      </c>
      <c r="K25" s="28">
        <v>618173.92</v>
      </c>
      <c r="L25" s="27">
        <f>SUM(L14:L24)</f>
        <v>158148.52</v>
      </c>
      <c r="M25" s="27">
        <f>SUM(M14:M24)</f>
        <v>-80558.52000000003</v>
      </c>
      <c r="N25" s="28">
        <v>238707.04000000004</v>
      </c>
      <c r="O25" s="27">
        <v>962957.4066</v>
      </c>
      <c r="P25" s="27">
        <f>SUM(P14:P24)</f>
        <v>58794.58340000012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152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101213</v>
      </c>
      <c r="M32" s="77"/>
      <c r="N32" s="77"/>
      <c r="O32" s="78"/>
      <c r="P32" s="31"/>
    </row>
    <row r="33" spans="1:16" ht="30">
      <c r="A33" s="35" t="s">
        <v>34</v>
      </c>
      <c r="B33" s="59" t="s">
        <v>105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18214</v>
      </c>
      <c r="M33" s="68"/>
      <c r="N33" s="68"/>
      <c r="O33" s="68"/>
      <c r="P33" s="31"/>
    </row>
    <row r="34" spans="1:16" ht="15">
      <c r="A34" s="35" t="s">
        <v>34</v>
      </c>
      <c r="B34" s="59" t="s">
        <v>124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12000</v>
      </c>
      <c r="M34" s="68"/>
      <c r="N34" s="68"/>
      <c r="O34" s="68"/>
      <c r="P34" s="31"/>
    </row>
    <row r="35" spans="1:16" ht="15">
      <c r="A35" s="35" t="s">
        <v>34</v>
      </c>
      <c r="B35" s="59" t="s">
        <v>125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7114</v>
      </c>
      <c r="M35" s="68"/>
      <c r="N35" s="68"/>
      <c r="O35" s="68"/>
      <c r="P35" s="31"/>
    </row>
    <row r="36" spans="1:16" ht="15">
      <c r="A36" s="35" t="s">
        <v>34</v>
      </c>
      <c r="B36" s="59" t="s">
        <v>126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57905</v>
      </c>
      <c r="M36" s="68"/>
      <c r="N36" s="68"/>
      <c r="O36" s="68"/>
      <c r="P36" s="44"/>
    </row>
    <row r="37" spans="1:16" ht="15">
      <c r="A37" s="35" t="s">
        <v>34</v>
      </c>
      <c r="B37" s="59" t="s">
        <v>127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5980</v>
      </c>
      <c r="M37" s="68"/>
      <c r="N37" s="68"/>
      <c r="O37" s="68"/>
      <c r="P37" s="44"/>
    </row>
    <row r="38" spans="1:16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69"/>
      <c r="M38" s="69"/>
      <c r="N38" s="69"/>
      <c r="O38" s="69"/>
      <c r="P38" s="44"/>
    </row>
    <row r="39" spans="1:16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44"/>
    </row>
    <row r="40" spans="1:15" ht="15">
      <c r="A40" s="39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70">
        <f>P25</f>
        <v>58794.58340000012</v>
      </c>
      <c r="M40" s="71"/>
      <c r="N40" s="71"/>
      <c r="O40" s="72"/>
    </row>
    <row r="41" spans="1:16" ht="15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5" ht="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2"/>
    </row>
    <row r="43" spans="2:16" ht="15">
      <c r="B43" s="43" t="s">
        <v>45</v>
      </c>
      <c r="C43" s="43"/>
      <c r="D43" s="43"/>
      <c r="E43" s="43"/>
      <c r="F43" s="43"/>
      <c r="G43" s="43"/>
      <c r="H43" s="43"/>
      <c r="I43" s="43"/>
      <c r="J43" s="43"/>
      <c r="K43" s="43"/>
      <c r="L43" s="43" t="s">
        <v>41</v>
      </c>
      <c r="M43" s="43"/>
      <c r="N43" s="43"/>
      <c r="O43" s="6"/>
      <c r="P43" s="3"/>
    </row>
  </sheetData>
  <sheetProtection/>
  <mergeCells count="27">
    <mergeCell ref="A1:O1"/>
    <mergeCell ref="A2:O2"/>
    <mergeCell ref="M12:N12"/>
    <mergeCell ref="O12:O13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40:O40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PageLayoutView="0" workbookViewId="0" topLeftCell="A1">
      <selection activeCell="B30" sqref="B30:K30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48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4990.8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1.0571841966589652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8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143560.8</v>
      </c>
      <c r="D14" s="20">
        <v>31729</v>
      </c>
      <c r="E14" s="21">
        <v>111831.8</v>
      </c>
      <c r="F14" s="19">
        <f>G14+H14</f>
        <v>673326.09</v>
      </c>
      <c r="G14" s="20">
        <v>57943.6</v>
      </c>
      <c r="H14" s="21">
        <v>615382.49</v>
      </c>
      <c r="I14" s="19">
        <f>J14+K14</f>
        <v>713320.22</v>
      </c>
      <c r="J14" s="20">
        <v>57070.4</v>
      </c>
      <c r="K14" s="21">
        <v>656249.82</v>
      </c>
      <c r="L14" s="19">
        <f>M14+N14</f>
        <v>103566.6700000001</v>
      </c>
      <c r="M14" s="20">
        <f>D14+G14-J14</f>
        <v>32602.200000000004</v>
      </c>
      <c r="N14" s="21">
        <v>70964.47000000009</v>
      </c>
      <c r="O14" s="22">
        <v>798808.23715</v>
      </c>
      <c r="P14" s="62">
        <f>F14-O14</f>
        <v>-125482.14714999998</v>
      </c>
    </row>
    <row r="15" spans="1:16" ht="45">
      <c r="A15" s="17">
        <v>2</v>
      </c>
      <c r="B15" s="18" t="s">
        <v>17</v>
      </c>
      <c r="C15" s="19">
        <v>0</v>
      </c>
      <c r="D15" s="20"/>
      <c r="E15" s="21"/>
      <c r="F15" s="19">
        <v>0</v>
      </c>
      <c r="G15" s="20"/>
      <c r="H15" s="21"/>
      <c r="I15" s="19">
        <v>0</v>
      </c>
      <c r="J15" s="20"/>
      <c r="K15" s="21"/>
      <c r="L15" s="19">
        <f aca="true" t="shared" si="0" ref="L15:L24">M15+N15</f>
        <v>0</v>
      </c>
      <c r="M15" s="20">
        <f aca="true" t="shared" si="1" ref="M15:M23">D15+G15-J15</f>
        <v>0</v>
      </c>
      <c r="N15" s="21">
        <v>0</v>
      </c>
      <c r="O15" s="22">
        <v>0</v>
      </c>
      <c r="P15" s="62">
        <v>0</v>
      </c>
    </row>
    <row r="16" spans="1:16" ht="15">
      <c r="A16" s="17">
        <v>3</v>
      </c>
      <c r="B16" s="18" t="s">
        <v>18</v>
      </c>
      <c r="C16" s="19">
        <v>30470.12</v>
      </c>
      <c r="D16" s="20"/>
      <c r="E16" s="21">
        <v>30470.12</v>
      </c>
      <c r="F16" s="19">
        <v>169291.35</v>
      </c>
      <c r="G16" s="20"/>
      <c r="H16" s="21">
        <v>169291.35</v>
      </c>
      <c r="I16" s="19">
        <v>178793.37</v>
      </c>
      <c r="J16" s="20"/>
      <c r="K16" s="21">
        <v>178793.37</v>
      </c>
      <c r="L16" s="19">
        <f t="shared" si="0"/>
        <v>20968.100000000006</v>
      </c>
      <c r="M16" s="20">
        <f t="shared" si="1"/>
        <v>0</v>
      </c>
      <c r="N16" s="21">
        <v>20968.100000000006</v>
      </c>
      <c r="O16" s="22">
        <v>163246.44225</v>
      </c>
      <c r="P16" s="62">
        <f aca="true" t="shared" si="2" ref="P16:P24">F16-O16</f>
        <v>6044.907750000013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f t="shared" si="0"/>
        <v>0</v>
      </c>
      <c r="M17" s="20">
        <f t="shared" si="1"/>
        <v>0</v>
      </c>
      <c r="N17" s="21">
        <v>0</v>
      </c>
      <c r="O17" s="22">
        <v>0</v>
      </c>
      <c r="P17" s="62">
        <f t="shared" si="2"/>
        <v>0</v>
      </c>
    </row>
    <row r="18" spans="1:16" ht="15">
      <c r="A18" s="17">
        <v>4</v>
      </c>
      <c r="B18" s="18" t="s">
        <v>20</v>
      </c>
      <c r="C18" s="19"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f t="shared" si="0"/>
        <v>0</v>
      </c>
      <c r="M18" s="20">
        <f t="shared" si="1"/>
        <v>0</v>
      </c>
      <c r="N18" s="21">
        <v>0</v>
      </c>
      <c r="O18" s="22">
        <v>0</v>
      </c>
      <c r="P18" s="62">
        <f t="shared" si="2"/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>
        <f t="shared" si="0"/>
        <v>0</v>
      </c>
      <c r="M19" s="20">
        <f t="shared" si="1"/>
        <v>0</v>
      </c>
      <c r="N19" s="21">
        <v>0</v>
      </c>
      <c r="O19" s="22">
        <v>0</v>
      </c>
      <c r="P19" s="62">
        <f t="shared" si="2"/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f t="shared" si="0"/>
        <v>0</v>
      </c>
      <c r="M20" s="20">
        <f t="shared" si="1"/>
        <v>0</v>
      </c>
      <c r="N20" s="21">
        <v>0</v>
      </c>
      <c r="O20" s="22">
        <v>0</v>
      </c>
      <c r="P20" s="62">
        <f t="shared" si="2"/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f t="shared" si="0"/>
        <v>0</v>
      </c>
      <c r="M21" s="20">
        <f t="shared" si="1"/>
        <v>0</v>
      </c>
      <c r="N21" s="21">
        <v>0</v>
      </c>
      <c r="O21" s="22">
        <v>0</v>
      </c>
      <c r="P21" s="62">
        <f t="shared" si="2"/>
        <v>0</v>
      </c>
    </row>
    <row r="22" spans="1:16" ht="15">
      <c r="A22" s="17">
        <v>7</v>
      </c>
      <c r="B22" s="18" t="s">
        <v>23</v>
      </c>
      <c r="C22" s="19">
        <v>0</v>
      </c>
      <c r="D22" s="20"/>
      <c r="E22" s="21"/>
      <c r="F22" s="19">
        <v>0</v>
      </c>
      <c r="G22" s="20"/>
      <c r="H22" s="21"/>
      <c r="I22" s="19">
        <v>0</v>
      </c>
      <c r="J22" s="20"/>
      <c r="K22" s="21"/>
      <c r="L22" s="19">
        <f t="shared" si="0"/>
        <v>0</v>
      </c>
      <c r="M22" s="20">
        <f t="shared" si="1"/>
        <v>0</v>
      </c>
      <c r="N22" s="21">
        <v>0</v>
      </c>
      <c r="O22" s="22">
        <v>0</v>
      </c>
      <c r="P22" s="62">
        <f t="shared" si="2"/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f t="shared" si="0"/>
        <v>0</v>
      </c>
      <c r="M23" s="20">
        <f t="shared" si="1"/>
        <v>0</v>
      </c>
      <c r="N23" s="21">
        <v>0</v>
      </c>
      <c r="O23" s="22">
        <v>0</v>
      </c>
      <c r="P23" s="62">
        <f t="shared" si="2"/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v>21403.125</v>
      </c>
      <c r="G24" s="20">
        <f>3600*G11</f>
        <v>2700</v>
      </c>
      <c r="H24" s="21"/>
      <c r="I24" s="19">
        <v>21450</v>
      </c>
      <c r="J24" s="20">
        <f>3600*J11</f>
        <v>2700</v>
      </c>
      <c r="K24" s="21"/>
      <c r="L24" s="19">
        <f t="shared" si="0"/>
        <v>0</v>
      </c>
      <c r="M24" s="20">
        <f>D24+G24-J24</f>
        <v>0</v>
      </c>
      <c r="N24" s="21">
        <v>0</v>
      </c>
      <c r="O24" s="22">
        <v>0</v>
      </c>
      <c r="P24" s="62">
        <f t="shared" si="2"/>
        <v>21403.125</v>
      </c>
    </row>
    <row r="25" spans="1:16" ht="15">
      <c r="A25" s="26"/>
      <c r="B25" s="27"/>
      <c r="C25" s="27">
        <v>174030.91999999998</v>
      </c>
      <c r="D25" s="27">
        <v>31729</v>
      </c>
      <c r="E25" s="28">
        <v>142301.92</v>
      </c>
      <c r="F25" s="27">
        <f>SUM(F14:F24)</f>
        <v>864020.565</v>
      </c>
      <c r="G25" s="27">
        <f>SUM(G14:G24)</f>
        <v>60643.6</v>
      </c>
      <c r="H25" s="28">
        <v>784673.84</v>
      </c>
      <c r="I25" s="27">
        <f>SUM(I14:I24)</f>
        <v>913563.59</v>
      </c>
      <c r="J25" s="27">
        <f>SUM(J14:J24)</f>
        <v>59770.4</v>
      </c>
      <c r="K25" s="28">
        <v>835043.19</v>
      </c>
      <c r="L25" s="27">
        <f>SUM(L14:L24)</f>
        <v>124534.7700000001</v>
      </c>
      <c r="M25" s="27">
        <f>SUM(M14:M24)</f>
        <v>32602.200000000004</v>
      </c>
      <c r="N25" s="28">
        <v>91932.5700000001</v>
      </c>
      <c r="O25" s="27">
        <v>962054.6793999999</v>
      </c>
      <c r="P25" s="27">
        <v>-95678.51439999999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238303.78000000003</v>
      </c>
      <c r="M32" s="77"/>
      <c r="N32" s="77"/>
      <c r="O32" s="78"/>
      <c r="P32" s="31"/>
    </row>
    <row r="33" spans="1:16" ht="15">
      <c r="A33" s="35" t="s">
        <v>34</v>
      </c>
      <c r="B33" s="59" t="s">
        <v>117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32140</v>
      </c>
      <c r="M33" s="68">
        <v>32140</v>
      </c>
      <c r="N33" s="68">
        <v>32140</v>
      </c>
      <c r="O33" s="68"/>
      <c r="P33" s="31"/>
    </row>
    <row r="34" spans="1:16" ht="15">
      <c r="A34" s="35" t="s">
        <v>34</v>
      </c>
      <c r="B34" s="59" t="s">
        <v>128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1726.22</v>
      </c>
      <c r="M34" s="68">
        <v>1726.22</v>
      </c>
      <c r="N34" s="68">
        <v>1726.22</v>
      </c>
      <c r="O34" s="68"/>
      <c r="P34" s="31"/>
    </row>
    <row r="35" spans="1:16" ht="30">
      <c r="A35" s="35" t="s">
        <v>34</v>
      </c>
      <c r="B35" s="59" t="s">
        <v>129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94102.18</v>
      </c>
      <c r="M35" s="68">
        <v>94102.18</v>
      </c>
      <c r="N35" s="68">
        <v>94102.18</v>
      </c>
      <c r="O35" s="68"/>
      <c r="P35" s="31"/>
    </row>
    <row r="36" spans="1:16" ht="15">
      <c r="A36" s="35" t="s">
        <v>34</v>
      </c>
      <c r="B36" s="59" t="s">
        <v>130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46371.6</v>
      </c>
      <c r="M36" s="68">
        <v>46371.6</v>
      </c>
      <c r="N36" s="68">
        <v>46371.6</v>
      </c>
      <c r="O36" s="68"/>
      <c r="P36" s="31"/>
    </row>
    <row r="37" spans="1:16" ht="15">
      <c r="A37" s="35" t="s">
        <v>34</v>
      </c>
      <c r="B37" s="59" t="s">
        <v>131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18001.24</v>
      </c>
      <c r="M37" s="68">
        <v>18001.24</v>
      </c>
      <c r="N37" s="68">
        <v>18001.24</v>
      </c>
      <c r="O37" s="68"/>
      <c r="P37" s="31"/>
    </row>
    <row r="38" spans="1:16" ht="15">
      <c r="A38" s="35" t="s">
        <v>34</v>
      </c>
      <c r="B38" s="59" t="s">
        <v>36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1658.78</v>
      </c>
      <c r="M38" s="68">
        <v>1658.78</v>
      </c>
      <c r="N38" s="68">
        <v>1658.78</v>
      </c>
      <c r="O38" s="68"/>
      <c r="P38" s="31"/>
    </row>
    <row r="39" spans="1:16" ht="15">
      <c r="A39" s="35" t="s">
        <v>34</v>
      </c>
      <c r="B39" s="59" t="s">
        <v>132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19227</v>
      </c>
      <c r="M39" s="68">
        <v>19227</v>
      </c>
      <c r="N39" s="68">
        <v>19227</v>
      </c>
      <c r="O39" s="68"/>
      <c r="P39" s="31"/>
    </row>
    <row r="40" spans="1:16" ht="15">
      <c r="A40" s="35" t="s">
        <v>34</v>
      </c>
      <c r="B40" s="59" t="s">
        <v>82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8837</v>
      </c>
      <c r="M40" s="68">
        <v>8837</v>
      </c>
      <c r="N40" s="68">
        <v>8837</v>
      </c>
      <c r="O40" s="68"/>
      <c r="P40" s="31"/>
    </row>
    <row r="41" spans="1:16" ht="15">
      <c r="A41" s="35" t="s">
        <v>34</v>
      </c>
      <c r="B41" s="59" t="s">
        <v>133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10486.17</v>
      </c>
      <c r="M41" s="68">
        <v>10486.17</v>
      </c>
      <c r="N41" s="68">
        <v>10486.17</v>
      </c>
      <c r="O41" s="68"/>
      <c r="P41" s="31"/>
    </row>
    <row r="42" spans="1:16" ht="15">
      <c r="A42" s="35" t="s">
        <v>34</v>
      </c>
      <c r="B42" s="59" t="s">
        <v>36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829.39</v>
      </c>
      <c r="M42" s="68">
        <v>829.39</v>
      </c>
      <c r="N42" s="68">
        <v>829.39</v>
      </c>
      <c r="O42" s="68"/>
      <c r="P42" s="44"/>
    </row>
    <row r="43" spans="1:16" ht="15">
      <c r="A43" s="35" t="s">
        <v>34</v>
      </c>
      <c r="B43" s="59" t="s">
        <v>38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4924.2</v>
      </c>
      <c r="M43" s="68">
        <v>4924.2</v>
      </c>
      <c r="N43" s="68">
        <v>4924.2</v>
      </c>
      <c r="O43" s="68"/>
      <c r="P43" s="44"/>
    </row>
    <row r="44" spans="1:16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69"/>
      <c r="M44" s="69"/>
      <c r="N44" s="69"/>
      <c r="O44" s="69"/>
      <c r="P44" s="44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44"/>
    </row>
    <row r="46" spans="1:15" ht="15">
      <c r="A46" s="39" t="s">
        <v>39</v>
      </c>
      <c r="B46" s="40" t="s">
        <v>139</v>
      </c>
      <c r="C46" s="40"/>
      <c r="D46" s="40"/>
      <c r="E46" s="40"/>
      <c r="F46" s="40"/>
      <c r="G46" s="40"/>
      <c r="H46" s="40"/>
      <c r="I46" s="40"/>
      <c r="J46" s="40"/>
      <c r="K46" s="40"/>
      <c r="L46" s="70">
        <f>P25</f>
        <v>-95678.51439999999</v>
      </c>
      <c r="M46" s="71"/>
      <c r="N46" s="71"/>
      <c r="O46" s="72"/>
    </row>
    <row r="47" spans="1:16" ht="15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5" ht="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2"/>
    </row>
    <row r="49" spans="2:16" ht="15">
      <c r="B49" s="43" t="s">
        <v>45</v>
      </c>
      <c r="C49" s="43"/>
      <c r="D49" s="43"/>
      <c r="E49" s="43"/>
      <c r="F49" s="43"/>
      <c r="G49" s="43"/>
      <c r="H49" s="43"/>
      <c r="I49" s="43"/>
      <c r="J49" s="43"/>
      <c r="K49" s="43"/>
      <c r="L49" s="43" t="s">
        <v>41</v>
      </c>
      <c r="M49" s="43"/>
      <c r="N49" s="43"/>
      <c r="O49" s="6"/>
      <c r="P49" s="3"/>
    </row>
  </sheetData>
  <sheetProtection/>
  <mergeCells count="33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B30:K30"/>
    <mergeCell ref="L30:O30"/>
    <mergeCell ref="B32:K32"/>
    <mergeCell ref="L32:O32"/>
    <mergeCell ref="L33:O33"/>
    <mergeCell ref="L29:O29"/>
    <mergeCell ref="L34:O34"/>
    <mergeCell ref="L35:O35"/>
    <mergeCell ref="L42:O42"/>
    <mergeCell ref="L43:O43"/>
    <mergeCell ref="L44:O44"/>
    <mergeCell ref="L46:O46"/>
    <mergeCell ref="L36:O36"/>
    <mergeCell ref="L37:O37"/>
    <mergeCell ref="L38:O38"/>
    <mergeCell ref="L39:O39"/>
    <mergeCell ref="L40:O40"/>
    <mergeCell ref="L41:O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0">
      <selection activeCell="P41" sqref="P41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50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7002.7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833.1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0.9558044227266842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3.7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49843.76</v>
      </c>
      <c r="D14" s="20">
        <v>2895</v>
      </c>
      <c r="E14" s="21">
        <v>46948.76</v>
      </c>
      <c r="F14" s="19">
        <f>G14+H14</f>
        <v>925713.21</v>
      </c>
      <c r="G14" s="20">
        <v>27784.17</v>
      </c>
      <c r="H14" s="21">
        <v>897929.0399999999</v>
      </c>
      <c r="I14" s="19">
        <f>J14+K14</f>
        <v>883637.63</v>
      </c>
      <c r="J14" s="20">
        <v>27859.76</v>
      </c>
      <c r="K14" s="21">
        <v>855777.87</v>
      </c>
      <c r="L14" s="19">
        <f>M14+N14</f>
        <v>91903.69999999994</v>
      </c>
      <c r="M14" s="20">
        <f>D14+G14-J14</f>
        <v>2819.41</v>
      </c>
      <c r="N14" s="21">
        <v>89084.28999999994</v>
      </c>
      <c r="O14" s="22">
        <v>694903.60835</v>
      </c>
      <c r="P14" s="62">
        <f>F14-O14</f>
        <v>230809.60164999997</v>
      </c>
    </row>
    <row r="15" spans="1:16" ht="45">
      <c r="A15" s="17">
        <v>2</v>
      </c>
      <c r="B15" s="18" t="s">
        <v>17</v>
      </c>
      <c r="C15" s="19">
        <v>0</v>
      </c>
      <c r="D15" s="20"/>
      <c r="E15" s="21"/>
      <c r="F15" s="19">
        <v>0</v>
      </c>
      <c r="G15" s="20"/>
      <c r="H15" s="21"/>
      <c r="I15" s="19">
        <v>0</v>
      </c>
      <c r="J15" s="20"/>
      <c r="K15" s="21"/>
      <c r="L15" s="19">
        <f aca="true" t="shared" si="0" ref="L15:L24">M15+N15</f>
        <v>0</v>
      </c>
      <c r="M15" s="20">
        <f aca="true" t="shared" si="1" ref="M15:M24">D15+G15-J15</f>
        <v>0</v>
      </c>
      <c r="N15" s="21">
        <v>0</v>
      </c>
      <c r="O15" s="22">
        <v>0</v>
      </c>
      <c r="P15" s="62">
        <v>0</v>
      </c>
    </row>
    <row r="16" spans="1:16" ht="15">
      <c r="A16" s="17">
        <v>3</v>
      </c>
      <c r="B16" s="18" t="s">
        <v>18</v>
      </c>
      <c r="C16" s="19">
        <v>12750.39</v>
      </c>
      <c r="D16" s="20"/>
      <c r="E16" s="21">
        <v>12750.39</v>
      </c>
      <c r="F16" s="19">
        <v>257043.48</v>
      </c>
      <c r="G16" s="20"/>
      <c r="H16" s="21">
        <v>257043.48</v>
      </c>
      <c r="I16" s="19">
        <v>246806.07</v>
      </c>
      <c r="J16" s="20"/>
      <c r="K16" s="21">
        <v>246806.07</v>
      </c>
      <c r="L16" s="19">
        <f t="shared" si="0"/>
        <v>22987.79999999999</v>
      </c>
      <c r="M16" s="20">
        <f t="shared" si="1"/>
        <v>0</v>
      </c>
      <c r="N16" s="21">
        <v>22987.79999999999</v>
      </c>
      <c r="O16" s="22">
        <v>256530.91015</v>
      </c>
      <c r="P16" s="62">
        <v>512.5698499999999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f t="shared" si="0"/>
        <v>-4.48</v>
      </c>
      <c r="M17" s="20">
        <f t="shared" si="1"/>
        <v>0</v>
      </c>
      <c r="N17" s="21">
        <v>-4.48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f t="shared" si="0"/>
        <v>0</v>
      </c>
      <c r="M18" s="20">
        <f t="shared" si="1"/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>
        <f t="shared" si="0"/>
        <v>0</v>
      </c>
      <c r="M19" s="20">
        <f t="shared" si="1"/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f t="shared" si="0"/>
        <v>0</v>
      </c>
      <c r="M20" s="20">
        <f t="shared" si="1"/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f t="shared" si="0"/>
        <v>0</v>
      </c>
      <c r="M21" s="20">
        <f t="shared" si="1"/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0</v>
      </c>
      <c r="D22" s="20"/>
      <c r="E22" s="21"/>
      <c r="F22" s="19">
        <v>0</v>
      </c>
      <c r="G22" s="20"/>
      <c r="H22" s="21"/>
      <c r="I22" s="19">
        <v>0</v>
      </c>
      <c r="J22" s="20"/>
      <c r="K22" s="21"/>
      <c r="L22" s="19">
        <f t="shared" si="0"/>
        <v>0</v>
      </c>
      <c r="M22" s="20">
        <f t="shared" si="1"/>
        <v>0</v>
      </c>
      <c r="N22" s="21">
        <v>0</v>
      </c>
      <c r="O22" s="22">
        <v>0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f t="shared" si="0"/>
        <v>0</v>
      </c>
      <c r="M23" s="20">
        <f t="shared" si="1"/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v>0</v>
      </c>
      <c r="G24" s="20"/>
      <c r="H24" s="21"/>
      <c r="I24" s="19">
        <v>0</v>
      </c>
      <c r="J24" s="20"/>
      <c r="K24" s="21"/>
      <c r="L24" s="19">
        <f t="shared" si="0"/>
        <v>0</v>
      </c>
      <c r="M24" s="20">
        <f t="shared" si="1"/>
        <v>0</v>
      </c>
      <c r="N24" s="21">
        <v>0</v>
      </c>
      <c r="O24" s="22">
        <v>0</v>
      </c>
      <c r="P24" s="62">
        <v>0</v>
      </c>
    </row>
    <row r="25" spans="1:16" ht="15">
      <c r="A25" s="26"/>
      <c r="B25" s="27"/>
      <c r="C25" s="27">
        <v>62594.15</v>
      </c>
      <c r="D25" s="27">
        <v>2895</v>
      </c>
      <c r="E25" s="28">
        <v>59699.15</v>
      </c>
      <c r="F25" s="27">
        <f>SUM(F14:F24)</f>
        <v>1182756.69</v>
      </c>
      <c r="G25" s="27">
        <f>SUM(G14:G24)</f>
        <v>27784.17</v>
      </c>
      <c r="H25" s="28">
        <v>1154972.52</v>
      </c>
      <c r="I25" s="27">
        <f>SUM(I14:I24)</f>
        <v>1130443.7</v>
      </c>
      <c r="J25" s="27">
        <f>SUM(J14:J24)</f>
        <v>27859.76</v>
      </c>
      <c r="K25" s="28">
        <v>1102583.94</v>
      </c>
      <c r="L25" s="27">
        <f>SUM(L14:L24)</f>
        <v>114887.01999999993</v>
      </c>
      <c r="M25" s="27">
        <f>SUM(M14:M24)</f>
        <v>2819.41</v>
      </c>
      <c r="N25" s="28">
        <v>112067.60999999993</v>
      </c>
      <c r="O25" s="27">
        <v>951434.5185</v>
      </c>
      <c r="P25" s="27">
        <f>SUM(P14:P24)</f>
        <v>231322.17149999997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2269.43</v>
      </c>
      <c r="M32" s="77"/>
      <c r="N32" s="77"/>
      <c r="O32" s="78"/>
      <c r="P32" s="31"/>
    </row>
    <row r="33" spans="1:16" ht="15">
      <c r="A33" s="35" t="s">
        <v>34</v>
      </c>
      <c r="B33" s="59" t="s">
        <v>38</v>
      </c>
      <c r="C33" s="60"/>
      <c r="D33" s="61"/>
      <c r="E33" s="58"/>
      <c r="F33" s="58"/>
      <c r="G33" s="58"/>
      <c r="H33" s="58"/>
      <c r="I33" s="58"/>
      <c r="J33" s="58"/>
      <c r="K33" s="58"/>
      <c r="L33" s="89">
        <v>2269.43</v>
      </c>
      <c r="M33" s="89"/>
      <c r="N33" s="89"/>
      <c r="O33" s="89"/>
      <c r="P33" s="31"/>
    </row>
    <row r="34" spans="1:16" ht="15">
      <c r="A34" s="35"/>
      <c r="B34" s="59"/>
      <c r="C34" s="60"/>
      <c r="D34" s="61"/>
      <c r="E34" s="58"/>
      <c r="F34" s="58"/>
      <c r="G34" s="58"/>
      <c r="H34" s="58"/>
      <c r="I34" s="58"/>
      <c r="J34" s="58"/>
      <c r="K34" s="58"/>
      <c r="L34" s="74"/>
      <c r="M34" s="74"/>
      <c r="N34" s="74"/>
      <c r="O34" s="74"/>
      <c r="P34" s="31"/>
    </row>
    <row r="35" spans="1:16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9"/>
      <c r="M35" s="69"/>
      <c r="N35" s="69"/>
      <c r="O35" s="69"/>
      <c r="P35" s="44"/>
    </row>
    <row r="36" spans="1:16" ht="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44"/>
    </row>
    <row r="37" spans="1:15" ht="15">
      <c r="A37" s="39" t="s">
        <v>39</v>
      </c>
      <c r="B37" s="40" t="s">
        <v>135</v>
      </c>
      <c r="C37" s="40"/>
      <c r="D37" s="40"/>
      <c r="E37" s="40"/>
      <c r="F37" s="40"/>
      <c r="G37" s="40"/>
      <c r="H37" s="40"/>
      <c r="I37" s="40"/>
      <c r="J37" s="40"/>
      <c r="K37" s="40"/>
      <c r="L37" s="70">
        <f>P25</f>
        <v>231322.17149999997</v>
      </c>
      <c r="M37" s="71"/>
      <c r="N37" s="71"/>
      <c r="O37" s="72"/>
    </row>
    <row r="38" spans="1:16" ht="15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5" ht="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2"/>
    </row>
    <row r="40" spans="2:16" ht="15">
      <c r="B40" s="43" t="s">
        <v>45</v>
      </c>
      <c r="C40" s="43"/>
      <c r="D40" s="43"/>
      <c r="E40" s="43"/>
      <c r="F40" s="43"/>
      <c r="G40" s="43"/>
      <c r="H40" s="43"/>
      <c r="I40" s="43"/>
      <c r="J40" s="43"/>
      <c r="K40" s="43"/>
      <c r="L40" s="43" t="s">
        <v>41</v>
      </c>
      <c r="M40" s="43"/>
      <c r="N40" s="43"/>
      <c r="O40" s="6"/>
      <c r="P40" s="3"/>
    </row>
  </sheetData>
  <sheetProtection/>
  <mergeCells count="24">
    <mergeCell ref="A1:O1"/>
    <mergeCell ref="A2:O2"/>
    <mergeCell ref="A12:A13"/>
    <mergeCell ref="B12:B13"/>
    <mergeCell ref="C12:C13"/>
    <mergeCell ref="D12:E12"/>
    <mergeCell ref="F12:F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M12:N12"/>
    <mergeCell ref="L33:O33"/>
    <mergeCell ref="L34:O34"/>
    <mergeCell ref="L35:O35"/>
    <mergeCell ref="L37:O37"/>
    <mergeCell ref="L29:O29"/>
    <mergeCell ref="P12:P13"/>
    <mergeCell ref="O12:O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0">
      <selection activeCell="L43" sqref="L43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5.281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51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8403.2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1595.3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1.0691951138676523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454392.43</v>
      </c>
      <c r="D14" s="20">
        <v>22667</v>
      </c>
      <c r="E14" s="21">
        <v>431725.43</v>
      </c>
      <c r="F14" s="19">
        <f>G14+H14</f>
        <v>1542181.54</v>
      </c>
      <c r="G14" s="20">
        <v>228127.9</v>
      </c>
      <c r="H14" s="21">
        <v>1314053.6400000001</v>
      </c>
      <c r="I14" s="19">
        <f>J14+K14</f>
        <v>1650652.1300000001</v>
      </c>
      <c r="J14" s="20">
        <v>248866.8</v>
      </c>
      <c r="K14" s="21">
        <v>1401785.33</v>
      </c>
      <c r="L14" s="19">
        <f>M14+N14</f>
        <v>345921.83999999997</v>
      </c>
      <c r="M14" s="20">
        <f>D14+G14-J14</f>
        <v>1928.1000000000058</v>
      </c>
      <c r="N14" s="21">
        <v>343993.74</v>
      </c>
      <c r="O14" s="22">
        <v>1620925.66865</v>
      </c>
      <c r="P14" s="62">
        <f>F14-O14</f>
        <v>-78744.12864999985</v>
      </c>
    </row>
    <row r="15" spans="1:16" ht="45">
      <c r="A15" s="17">
        <v>2</v>
      </c>
      <c r="B15" s="18" t="s">
        <v>17</v>
      </c>
      <c r="C15" s="19">
        <v>15045.94</v>
      </c>
      <c r="D15" s="20"/>
      <c r="E15" s="21">
        <v>15045.94</v>
      </c>
      <c r="F15" s="19">
        <v>17707.81</v>
      </c>
      <c r="G15" s="20"/>
      <c r="H15" s="21">
        <v>17707.81</v>
      </c>
      <c r="I15" s="19">
        <v>24432.56</v>
      </c>
      <c r="J15" s="20"/>
      <c r="K15" s="21">
        <v>24432.56</v>
      </c>
      <c r="L15" s="19">
        <v>8321.189999999999</v>
      </c>
      <c r="M15" s="20">
        <v>0</v>
      </c>
      <c r="N15" s="21">
        <v>8321.189999999999</v>
      </c>
      <c r="O15" s="22">
        <f>11999+5708.81</f>
        <v>17707.81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92207.13</v>
      </c>
      <c r="D16" s="20"/>
      <c r="E16" s="21">
        <v>92207.13</v>
      </c>
      <c r="F16" s="19">
        <v>376164.3</v>
      </c>
      <c r="G16" s="20"/>
      <c r="H16" s="21">
        <v>376164.3</v>
      </c>
      <c r="I16" s="19">
        <v>400902.84</v>
      </c>
      <c r="J16" s="20"/>
      <c r="K16" s="21">
        <v>400902.84</v>
      </c>
      <c r="L16" s="19">
        <v>67468.58999999997</v>
      </c>
      <c r="M16" s="20">
        <v>0</v>
      </c>
      <c r="N16" s="21">
        <v>67468.58999999997</v>
      </c>
      <c r="O16" s="22">
        <v>351955.94500000007</v>
      </c>
      <c r="P16" s="65">
        <v>4208.3549999999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-948.53</v>
      </c>
      <c r="M17" s="20">
        <v>0</v>
      </c>
      <c r="N17" s="21">
        <v>-948.53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6808.37</v>
      </c>
      <c r="D18" s="20"/>
      <c r="E18" s="21">
        <v>6808.37</v>
      </c>
      <c r="F18" s="19">
        <v>0</v>
      </c>
      <c r="G18" s="24"/>
      <c r="H18" s="21"/>
      <c r="I18" s="19">
        <v>0</v>
      </c>
      <c r="J18" s="20"/>
      <c r="K18" s="21"/>
      <c r="L18" s="19">
        <v>6808.37</v>
      </c>
      <c r="M18" s="20">
        <v>0</v>
      </c>
      <c r="N18" s="21">
        <v>6808.37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38357.909999999996</v>
      </c>
      <c r="D22" s="20"/>
      <c r="E22" s="21">
        <v>38357.909999999996</v>
      </c>
      <c r="F22" s="19">
        <v>169677.58</v>
      </c>
      <c r="G22" s="20"/>
      <c r="H22" s="21">
        <v>169677.58</v>
      </c>
      <c r="I22" s="19">
        <v>178989.6</v>
      </c>
      <c r="J22" s="20"/>
      <c r="K22" s="21">
        <v>178989.6</v>
      </c>
      <c r="L22" s="19">
        <v>29045.889999999985</v>
      </c>
      <c r="M22" s="20">
        <v>0</v>
      </c>
      <c r="N22" s="21">
        <v>29045.889999999985</v>
      </c>
      <c r="O22" s="22">
        <v>169677.58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764.59</v>
      </c>
      <c r="D24" s="20"/>
      <c r="E24" s="21">
        <v>764.59</v>
      </c>
      <c r="F24" s="19">
        <f>G24+H24</f>
        <v>0</v>
      </c>
      <c r="G24" s="20"/>
      <c r="H24" s="21"/>
      <c r="I24" s="19">
        <f>J24+K24</f>
        <v>764.59</v>
      </c>
      <c r="J24" s="20"/>
      <c r="K24" s="21">
        <v>764.59</v>
      </c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0</v>
      </c>
    </row>
    <row r="25" spans="1:16" ht="15">
      <c r="A25" s="26"/>
      <c r="B25" s="27"/>
      <c r="C25" s="27">
        <v>607576.37</v>
      </c>
      <c r="D25" s="27">
        <v>22667</v>
      </c>
      <c r="E25" s="28">
        <v>584909.37</v>
      </c>
      <c r="F25" s="27">
        <f>SUM(F14:F24)</f>
        <v>2105731.23</v>
      </c>
      <c r="G25" s="27">
        <f>SUM(G14:G24)</f>
        <v>228127.9</v>
      </c>
      <c r="H25" s="28">
        <v>1877603.3300000003</v>
      </c>
      <c r="I25" s="27">
        <f>SUM(I14:I24)</f>
        <v>2255741.72</v>
      </c>
      <c r="J25" s="27">
        <f>SUM(J14:J24)</f>
        <v>248866.8</v>
      </c>
      <c r="K25" s="28">
        <v>2006874.9200000004</v>
      </c>
      <c r="L25" s="27">
        <f>SUM(L14:L24)</f>
        <v>456617.34999999986</v>
      </c>
      <c r="M25" s="27">
        <f>SUM(M14:M24)</f>
        <v>1928.1000000000058</v>
      </c>
      <c r="N25" s="28">
        <v>454689.2499999999</v>
      </c>
      <c r="O25" s="27">
        <v>2154558.19365</v>
      </c>
      <c r="P25" s="27">
        <f>SUM(P14:P24)</f>
        <v>-74535.77364999996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443446.9</v>
      </c>
      <c r="M32" s="77"/>
      <c r="N32" s="77"/>
      <c r="O32" s="78"/>
      <c r="P32" s="31"/>
    </row>
    <row r="33" spans="1:16" ht="15">
      <c r="A33" s="35" t="s">
        <v>34</v>
      </c>
      <c r="B33" s="59" t="s">
        <v>87</v>
      </c>
      <c r="C33" s="60"/>
      <c r="D33" s="61"/>
      <c r="E33" s="58"/>
      <c r="F33" s="58"/>
      <c r="G33" s="58"/>
      <c r="H33" s="58"/>
      <c r="I33" s="58"/>
      <c r="J33" s="58"/>
      <c r="K33" s="58"/>
      <c r="L33" s="89">
        <v>331200</v>
      </c>
      <c r="M33" s="89"/>
      <c r="N33" s="89"/>
      <c r="O33" s="89"/>
      <c r="P33" s="31"/>
    </row>
    <row r="34" spans="1:16" ht="15">
      <c r="A34" s="35" t="s">
        <v>34</v>
      </c>
      <c r="B34" s="59" t="s">
        <v>80</v>
      </c>
      <c r="C34" s="60"/>
      <c r="D34" s="61"/>
      <c r="E34" s="58"/>
      <c r="F34" s="58"/>
      <c r="G34" s="58"/>
      <c r="H34" s="58"/>
      <c r="I34" s="58"/>
      <c r="J34" s="58"/>
      <c r="K34" s="58"/>
      <c r="L34" s="89">
        <v>1000</v>
      </c>
      <c r="M34" s="89"/>
      <c r="N34" s="89"/>
      <c r="O34" s="89"/>
      <c r="P34" s="31"/>
    </row>
    <row r="35" spans="1:16" ht="30">
      <c r="A35" s="35" t="s">
        <v>34</v>
      </c>
      <c r="B35" s="59" t="s">
        <v>136</v>
      </c>
      <c r="C35" s="60"/>
      <c r="D35" s="61"/>
      <c r="E35" s="58"/>
      <c r="F35" s="58"/>
      <c r="G35" s="58"/>
      <c r="H35" s="58"/>
      <c r="I35" s="58"/>
      <c r="J35" s="58"/>
      <c r="K35" s="58"/>
      <c r="L35" s="89">
        <v>98560</v>
      </c>
      <c r="M35" s="89"/>
      <c r="N35" s="89"/>
      <c r="O35" s="89"/>
      <c r="P35" s="31"/>
    </row>
    <row r="36" spans="1:16" ht="15">
      <c r="A36" s="35" t="s">
        <v>34</v>
      </c>
      <c r="B36" s="59" t="s">
        <v>36</v>
      </c>
      <c r="C36" s="60"/>
      <c r="D36" s="61"/>
      <c r="E36" s="58"/>
      <c r="F36" s="58"/>
      <c r="G36" s="58"/>
      <c r="H36" s="58"/>
      <c r="I36" s="58"/>
      <c r="J36" s="58"/>
      <c r="K36" s="58"/>
      <c r="L36" s="89">
        <v>829.39</v>
      </c>
      <c r="M36" s="89"/>
      <c r="N36" s="89"/>
      <c r="O36" s="89"/>
      <c r="P36" s="44"/>
    </row>
    <row r="37" spans="1:16" ht="15">
      <c r="A37" s="35" t="s">
        <v>34</v>
      </c>
      <c r="B37" s="59" t="s">
        <v>137</v>
      </c>
      <c r="C37" s="60"/>
      <c r="D37" s="61"/>
      <c r="E37" s="58"/>
      <c r="F37" s="58"/>
      <c r="G37" s="58"/>
      <c r="H37" s="58"/>
      <c r="I37" s="58"/>
      <c r="J37" s="58"/>
      <c r="K37" s="58"/>
      <c r="L37" s="89">
        <v>10226.8</v>
      </c>
      <c r="M37" s="89"/>
      <c r="N37" s="89"/>
      <c r="O37" s="89"/>
      <c r="P37" s="44"/>
    </row>
    <row r="38" spans="1:16" ht="15">
      <c r="A38" s="35" t="s">
        <v>34</v>
      </c>
      <c r="B38" s="59" t="s">
        <v>79</v>
      </c>
      <c r="C38" s="60"/>
      <c r="D38" s="61"/>
      <c r="E38" s="58"/>
      <c r="F38" s="58"/>
      <c r="G38" s="58"/>
      <c r="H38" s="58"/>
      <c r="I38" s="58"/>
      <c r="J38" s="58"/>
      <c r="K38" s="58"/>
      <c r="L38" s="89">
        <v>960</v>
      </c>
      <c r="M38" s="89"/>
      <c r="N38" s="89"/>
      <c r="O38" s="89"/>
      <c r="P38" s="44"/>
    </row>
    <row r="39" spans="1:16" ht="15">
      <c r="A39" s="35" t="s">
        <v>34</v>
      </c>
      <c r="B39" s="59" t="s">
        <v>38</v>
      </c>
      <c r="C39" s="60"/>
      <c r="D39" s="61"/>
      <c r="E39" s="58"/>
      <c r="F39" s="58"/>
      <c r="G39" s="58"/>
      <c r="H39" s="58"/>
      <c r="I39" s="58"/>
      <c r="J39" s="58"/>
      <c r="K39" s="58"/>
      <c r="L39" s="89">
        <v>670.71</v>
      </c>
      <c r="M39" s="89"/>
      <c r="N39" s="89"/>
      <c r="O39" s="89"/>
      <c r="P39" s="44"/>
    </row>
    <row r="40" spans="1:16" ht="15">
      <c r="A40" s="36"/>
      <c r="B40" s="47"/>
      <c r="C40" s="48"/>
      <c r="D40" s="48"/>
      <c r="E40" s="47"/>
      <c r="F40" s="47"/>
      <c r="G40" s="47"/>
      <c r="H40" s="47"/>
      <c r="I40" s="47"/>
      <c r="J40" s="47"/>
      <c r="K40" s="47"/>
      <c r="L40" s="53"/>
      <c r="M40" s="53"/>
      <c r="N40" s="53"/>
      <c r="O40" s="53"/>
      <c r="P40" s="44"/>
    </row>
    <row r="41" spans="1:16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44"/>
    </row>
    <row r="42" spans="1:15" ht="15">
      <c r="A42" s="39" t="s">
        <v>39</v>
      </c>
      <c r="B42" s="40" t="s">
        <v>139</v>
      </c>
      <c r="C42" s="40"/>
      <c r="D42" s="40"/>
      <c r="E42" s="40"/>
      <c r="F42" s="40"/>
      <c r="G42" s="40"/>
      <c r="H42" s="40"/>
      <c r="I42" s="40"/>
      <c r="J42" s="40"/>
      <c r="K42" s="40"/>
      <c r="L42" s="70">
        <f>P25</f>
        <v>-74535.77364999996</v>
      </c>
      <c r="M42" s="71"/>
      <c r="N42" s="71"/>
      <c r="O42" s="72"/>
    </row>
    <row r="43" spans="1:16" ht="15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5" ht="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2"/>
    </row>
    <row r="45" spans="2:16" ht="15">
      <c r="B45" s="43" t="s">
        <v>45</v>
      </c>
      <c r="C45" s="43"/>
      <c r="D45" s="43"/>
      <c r="E45" s="43"/>
      <c r="F45" s="43"/>
      <c r="G45" s="43"/>
      <c r="H45" s="43"/>
      <c r="I45" s="43"/>
      <c r="J45" s="43"/>
      <c r="K45" s="43"/>
      <c r="L45" s="43" t="s">
        <v>41</v>
      </c>
      <c r="M45" s="43"/>
      <c r="N45" s="43"/>
      <c r="O45" s="6"/>
      <c r="P45" s="3"/>
    </row>
  </sheetData>
  <sheetProtection/>
  <mergeCells count="28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L29:O29"/>
    <mergeCell ref="B30:K30"/>
    <mergeCell ref="L30:O30"/>
    <mergeCell ref="B32:K32"/>
    <mergeCell ref="L32:O32"/>
    <mergeCell ref="L33:O33"/>
    <mergeCell ref="L34:O34"/>
    <mergeCell ref="L35:O35"/>
    <mergeCell ref="L36:O36"/>
    <mergeCell ref="L37:O37"/>
    <mergeCell ref="L38:O38"/>
    <mergeCell ref="L39:O39"/>
    <mergeCell ref="L42:O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PageLayoutView="0" workbookViewId="0" topLeftCell="A7">
      <selection activeCell="L47" sqref="L47:O47"/>
    </sheetView>
  </sheetViews>
  <sheetFormatPr defaultColWidth="9.140625" defaultRowHeight="15" outlineLevelCol="1"/>
  <cols>
    <col min="1" max="1" width="4.28125" style="2" customWidth="1"/>
    <col min="2" max="2" width="34.1406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52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11793.34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1.0759518607376164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8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326683.83</v>
      </c>
      <c r="D14" s="20"/>
      <c r="E14" s="21">
        <v>326683.83</v>
      </c>
      <c r="F14" s="19">
        <v>1774677.5799999998</v>
      </c>
      <c r="G14" s="20"/>
      <c r="H14" s="21">
        <v>1774677.5799999998</v>
      </c>
      <c r="I14" s="19">
        <v>1892976.2799999998</v>
      </c>
      <c r="J14" s="20"/>
      <c r="K14" s="21">
        <v>1892976.2799999998</v>
      </c>
      <c r="L14" s="19">
        <f>M14+N14</f>
        <v>208378.0099999999</v>
      </c>
      <c r="M14" s="20">
        <f>D14+G14-J14</f>
        <v>0</v>
      </c>
      <c r="N14" s="21">
        <v>208378.0099999999</v>
      </c>
      <c r="O14" s="22">
        <v>1730756.3612999998</v>
      </c>
      <c r="P14" s="62">
        <f>F14-O14</f>
        <v>43921.218700000085</v>
      </c>
    </row>
    <row r="15" spans="1:16" ht="45">
      <c r="A15" s="17">
        <v>2</v>
      </c>
      <c r="B15" s="18" t="s">
        <v>17</v>
      </c>
      <c r="C15" s="19">
        <v>19237.23</v>
      </c>
      <c r="D15" s="20"/>
      <c r="E15" s="21">
        <v>19237.23</v>
      </c>
      <c r="F15" s="19">
        <v>30223.91</v>
      </c>
      <c r="G15" s="20"/>
      <c r="H15" s="21">
        <v>30223.91</v>
      </c>
      <c r="I15" s="19">
        <v>46687.76</v>
      </c>
      <c r="J15" s="20"/>
      <c r="K15" s="21">
        <v>46687.76</v>
      </c>
      <c r="L15" s="19">
        <v>2773.3799999999974</v>
      </c>
      <c r="M15" s="20">
        <f aca="true" t="shared" si="0" ref="M15:M24">D15+G15-J15</f>
        <v>0</v>
      </c>
      <c r="N15" s="21">
        <v>2773.3799999999974</v>
      </c>
      <c r="O15" s="22">
        <f>22652.7+7571.21</f>
        <v>30223.91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96875.17</v>
      </c>
      <c r="D16" s="20"/>
      <c r="E16" s="21">
        <v>96875.17</v>
      </c>
      <c r="F16" s="19">
        <v>527875.94</v>
      </c>
      <c r="G16" s="20"/>
      <c r="H16" s="21">
        <v>527875.94</v>
      </c>
      <c r="I16" s="19">
        <v>557072.36</v>
      </c>
      <c r="J16" s="20"/>
      <c r="K16" s="21">
        <v>557072.36</v>
      </c>
      <c r="L16" s="19">
        <v>67678.75</v>
      </c>
      <c r="M16" s="20">
        <f t="shared" si="0"/>
        <v>0</v>
      </c>
      <c r="N16" s="21">
        <v>67678.75</v>
      </c>
      <c r="O16" s="22">
        <v>481662.1342</v>
      </c>
      <c r="P16" s="65">
        <v>4213.8057999999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-1215.57</v>
      </c>
      <c r="M17" s="20">
        <f t="shared" si="0"/>
        <v>0</v>
      </c>
      <c r="N17" s="21">
        <v>-1215.57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f t="shared" si="0"/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f t="shared" si="0"/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21687.699999999997</v>
      </c>
      <c r="D20" s="20"/>
      <c r="E20" s="21">
        <v>21687.699999999997</v>
      </c>
      <c r="F20" s="19">
        <v>0</v>
      </c>
      <c r="G20" s="20"/>
      <c r="H20" s="21"/>
      <c r="I20" s="19">
        <v>18496.95</v>
      </c>
      <c r="J20" s="20"/>
      <c r="K20" s="21">
        <v>18496.95</v>
      </c>
      <c r="L20" s="19">
        <v>3190.7499999999964</v>
      </c>
      <c r="M20" s="20">
        <f t="shared" si="0"/>
        <v>0</v>
      </c>
      <c r="N20" s="21">
        <v>3190.7499999999964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f t="shared" si="0"/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44258.700000000004</v>
      </c>
      <c r="D22" s="20"/>
      <c r="E22" s="21">
        <v>44258.700000000004</v>
      </c>
      <c r="F22" s="19">
        <v>239979.26</v>
      </c>
      <c r="G22" s="20"/>
      <c r="H22" s="21">
        <v>239979.26</v>
      </c>
      <c r="I22" s="19">
        <v>254507.73</v>
      </c>
      <c r="J22" s="20"/>
      <c r="K22" s="21">
        <v>254507.73</v>
      </c>
      <c r="L22" s="19">
        <v>29730.23000000001</v>
      </c>
      <c r="M22" s="20">
        <f t="shared" si="0"/>
        <v>0</v>
      </c>
      <c r="N22" s="21">
        <v>29730.23000000001</v>
      </c>
      <c r="O22" s="22">
        <v>239979.26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f t="shared" si="0"/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22500</v>
      </c>
      <c r="G24" s="20">
        <f>30000*G11</f>
        <v>22500</v>
      </c>
      <c r="H24" s="21"/>
      <c r="I24" s="19">
        <f>J24+K24</f>
        <v>22500</v>
      </c>
      <c r="J24" s="20">
        <f>30000*J11</f>
        <v>22500</v>
      </c>
      <c r="K24" s="21"/>
      <c r="L24" s="19">
        <f>M24+N24</f>
        <v>0</v>
      </c>
      <c r="M24" s="20">
        <f t="shared" si="0"/>
        <v>0</v>
      </c>
      <c r="N24" s="21">
        <v>0</v>
      </c>
      <c r="O24" s="22">
        <v>0</v>
      </c>
      <c r="P24" s="62">
        <f>F24-O24</f>
        <v>22500</v>
      </c>
    </row>
    <row r="25" spans="1:16" ht="15">
      <c r="A25" s="26"/>
      <c r="B25" s="27"/>
      <c r="C25" s="27">
        <v>508742.63</v>
      </c>
      <c r="D25" s="27">
        <v>0</v>
      </c>
      <c r="E25" s="28">
        <v>508742.63</v>
      </c>
      <c r="F25" s="27">
        <f>SUM(F14:F24)</f>
        <v>2595256.6899999995</v>
      </c>
      <c r="G25" s="27">
        <f>SUM(G14:G24)</f>
        <v>22500</v>
      </c>
      <c r="H25" s="28">
        <v>2572756.6899999995</v>
      </c>
      <c r="I25" s="27">
        <f>SUM(I14:I24)</f>
        <v>2792241.08</v>
      </c>
      <c r="J25" s="27">
        <f>SUM(J14:J24)</f>
        <v>22500</v>
      </c>
      <c r="K25" s="28">
        <v>2769741.08</v>
      </c>
      <c r="L25" s="27">
        <f>SUM(L14:L24)</f>
        <v>310535.54999999993</v>
      </c>
      <c r="M25" s="27">
        <f>SUM(M14:M24)</f>
        <v>0</v>
      </c>
      <c r="N25" s="28">
        <v>310535.54999999993</v>
      </c>
      <c r="O25" s="27">
        <v>2475050.455499999</v>
      </c>
      <c r="P25" s="27">
        <f>SUM(P14:P24)</f>
        <v>70635.02449999998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371652.56</v>
      </c>
      <c r="M32" s="77"/>
      <c r="N32" s="77"/>
      <c r="O32" s="78"/>
      <c r="P32" s="31"/>
    </row>
    <row r="33" spans="1:16" ht="15">
      <c r="A33" s="35" t="s">
        <v>34</v>
      </c>
      <c r="B33" s="59" t="s">
        <v>138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170285.69</v>
      </c>
      <c r="M33" s="68"/>
      <c r="N33" s="68"/>
      <c r="O33" s="68"/>
      <c r="P33" s="31"/>
    </row>
    <row r="34" spans="1:16" ht="15">
      <c r="A34" s="35" t="s">
        <v>34</v>
      </c>
      <c r="B34" s="59" t="s">
        <v>37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49748.88</v>
      </c>
      <c r="M34" s="68"/>
      <c r="N34" s="68"/>
      <c r="O34" s="68"/>
      <c r="P34" s="31"/>
    </row>
    <row r="35" spans="1:16" ht="15">
      <c r="A35" s="35" t="s">
        <v>34</v>
      </c>
      <c r="B35" s="59" t="s">
        <v>79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1364.73</v>
      </c>
      <c r="M35" s="68"/>
      <c r="N35" s="68"/>
      <c r="O35" s="68"/>
      <c r="P35" s="31"/>
    </row>
    <row r="36" spans="1:16" ht="15">
      <c r="A36" s="35" t="s">
        <v>34</v>
      </c>
      <c r="B36" s="59" t="s">
        <v>79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1331</v>
      </c>
      <c r="M36" s="68"/>
      <c r="N36" s="68"/>
      <c r="O36" s="68"/>
      <c r="P36" s="31"/>
    </row>
    <row r="37" spans="1:16" ht="15">
      <c r="A37" s="35" t="s">
        <v>34</v>
      </c>
      <c r="B37" s="59" t="s">
        <v>80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1000</v>
      </c>
      <c r="M37" s="68"/>
      <c r="N37" s="68"/>
      <c r="O37" s="68"/>
      <c r="P37" s="31"/>
    </row>
    <row r="38" spans="1:16" ht="15">
      <c r="A38" s="35" t="s">
        <v>34</v>
      </c>
      <c r="B38" s="59" t="s">
        <v>85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17511.83</v>
      </c>
      <c r="M38" s="68"/>
      <c r="N38" s="68"/>
      <c r="O38" s="68"/>
      <c r="P38" s="31"/>
    </row>
    <row r="39" spans="1:16" ht="15">
      <c r="A39" s="35" t="s">
        <v>34</v>
      </c>
      <c r="B39" s="59" t="s">
        <v>86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39891.18</v>
      </c>
      <c r="M39" s="68"/>
      <c r="N39" s="68"/>
      <c r="O39" s="68"/>
      <c r="P39" s="31"/>
    </row>
    <row r="40" spans="1:16" ht="15">
      <c r="A40" s="35" t="s">
        <v>34</v>
      </c>
      <c r="B40" s="59" t="s">
        <v>87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84000</v>
      </c>
      <c r="M40" s="68"/>
      <c r="N40" s="68"/>
      <c r="O40" s="68"/>
      <c r="P40" s="31"/>
    </row>
    <row r="41" spans="1:16" ht="15">
      <c r="A41" s="35" t="s">
        <v>34</v>
      </c>
      <c r="B41" s="59" t="s">
        <v>36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829.39</v>
      </c>
      <c r="M41" s="68"/>
      <c r="N41" s="68"/>
      <c r="O41" s="68"/>
      <c r="P41" s="31"/>
    </row>
    <row r="42" spans="1:16" ht="15">
      <c r="A42" s="35" t="s">
        <v>34</v>
      </c>
      <c r="B42" s="59" t="s">
        <v>88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1305.48</v>
      </c>
      <c r="M42" s="68"/>
      <c r="N42" s="68"/>
      <c r="O42" s="68"/>
      <c r="P42" s="31"/>
    </row>
    <row r="43" spans="1:16" ht="15">
      <c r="A43" s="35" t="s">
        <v>34</v>
      </c>
      <c r="B43" s="59" t="s">
        <v>79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960</v>
      </c>
      <c r="M43" s="68"/>
      <c r="N43" s="68"/>
      <c r="O43" s="68"/>
      <c r="P43" s="31"/>
    </row>
    <row r="44" spans="1:16" ht="15">
      <c r="A44" s="35" t="s">
        <v>34</v>
      </c>
      <c r="B44" s="59" t="s">
        <v>38</v>
      </c>
      <c r="C44" s="60"/>
      <c r="D44" s="61"/>
      <c r="E44" s="58"/>
      <c r="F44" s="58"/>
      <c r="G44" s="58"/>
      <c r="H44" s="58"/>
      <c r="I44" s="58"/>
      <c r="J44" s="58"/>
      <c r="K44" s="58"/>
      <c r="L44" s="68">
        <v>3424.38</v>
      </c>
      <c r="M44" s="68"/>
      <c r="N44" s="68"/>
      <c r="O44" s="68"/>
      <c r="P44" s="31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69"/>
      <c r="M45" s="69"/>
      <c r="N45" s="69"/>
      <c r="O45" s="69"/>
      <c r="P45" s="44"/>
    </row>
    <row r="46" spans="1:16" ht="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44"/>
    </row>
    <row r="47" spans="1:15" ht="15">
      <c r="A47" s="39" t="s">
        <v>39</v>
      </c>
      <c r="B47" s="40" t="s">
        <v>135</v>
      </c>
      <c r="C47" s="40"/>
      <c r="D47" s="40"/>
      <c r="E47" s="40"/>
      <c r="F47" s="40"/>
      <c r="G47" s="40"/>
      <c r="H47" s="40"/>
      <c r="I47" s="40"/>
      <c r="J47" s="40"/>
      <c r="K47" s="40"/>
      <c r="L47" s="70">
        <f>P25</f>
        <v>70635.02449999998</v>
      </c>
      <c r="M47" s="71"/>
      <c r="N47" s="71"/>
      <c r="O47" s="72"/>
    </row>
    <row r="48" spans="1:16" ht="15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5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2"/>
    </row>
    <row r="50" spans="2:16" ht="15">
      <c r="B50" s="43" t="s">
        <v>45</v>
      </c>
      <c r="C50" s="43"/>
      <c r="D50" s="43"/>
      <c r="E50" s="43"/>
      <c r="F50" s="43"/>
      <c r="G50" s="43"/>
      <c r="H50" s="43"/>
      <c r="I50" s="43"/>
      <c r="J50" s="43"/>
      <c r="K50" s="43"/>
      <c r="L50" s="43" t="s">
        <v>41</v>
      </c>
      <c r="M50" s="43"/>
      <c r="N50" s="43"/>
      <c r="O50" s="6"/>
      <c r="P50" s="3"/>
    </row>
  </sheetData>
  <sheetProtection/>
  <mergeCells count="34">
    <mergeCell ref="A1:O1"/>
    <mergeCell ref="A2:O2"/>
    <mergeCell ref="A12:A13"/>
    <mergeCell ref="B12:B13"/>
    <mergeCell ref="C12:C13"/>
    <mergeCell ref="D12:E12"/>
    <mergeCell ref="F12:F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M12:N12"/>
    <mergeCell ref="L34:O34"/>
    <mergeCell ref="L35:O35"/>
    <mergeCell ref="L36:O36"/>
    <mergeCell ref="L37:O37"/>
    <mergeCell ref="L38:O38"/>
    <mergeCell ref="P12:P13"/>
    <mergeCell ref="O12:O13"/>
    <mergeCell ref="L45:O45"/>
    <mergeCell ref="L47:O47"/>
    <mergeCell ref="L29:O29"/>
    <mergeCell ref="L39:O39"/>
    <mergeCell ref="L40:O40"/>
    <mergeCell ref="L41:O41"/>
    <mergeCell ref="L42:O42"/>
    <mergeCell ref="L43:O43"/>
    <mergeCell ref="L44:O44"/>
    <mergeCell ref="L33:O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zoomScalePageLayoutView="0" workbookViewId="0" topLeftCell="A10">
      <selection activeCell="L42" sqref="L42:O42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53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6261.3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1157.4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1.0281164482317176</v>
      </c>
      <c r="D8" s="1"/>
      <c r="E8" s="57"/>
      <c r="F8" s="1"/>
      <c r="G8" s="14"/>
      <c r="H8" s="8"/>
      <c r="I8" s="8"/>
      <c r="J8" s="14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7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199698.22</v>
      </c>
      <c r="D14" s="20">
        <v>6694</v>
      </c>
      <c r="E14" s="21">
        <v>193004.22</v>
      </c>
      <c r="F14" s="19">
        <f>G14+H14</f>
        <v>1147946.8800000001</v>
      </c>
      <c r="G14" s="20">
        <v>180476.4</v>
      </c>
      <c r="H14" s="21">
        <v>967470.4800000001</v>
      </c>
      <c r="I14" s="19">
        <f>J14+K14</f>
        <v>1184775.9300000002</v>
      </c>
      <c r="J14" s="20">
        <v>174417.82</v>
      </c>
      <c r="K14" s="21">
        <v>1010358.1100000001</v>
      </c>
      <c r="L14" s="19">
        <f>M14+N14</f>
        <v>162869.17000000007</v>
      </c>
      <c r="M14" s="20">
        <f>D14+G14-J14</f>
        <v>12752.579999999987</v>
      </c>
      <c r="N14" s="21">
        <v>150116.59000000008</v>
      </c>
      <c r="O14" s="22">
        <v>928432.19665</v>
      </c>
      <c r="P14" s="62">
        <f>F14-O14</f>
        <v>219514.68335000006</v>
      </c>
    </row>
    <row r="15" spans="1:16" ht="45">
      <c r="A15" s="17">
        <v>2</v>
      </c>
      <c r="B15" s="18" t="s">
        <v>17</v>
      </c>
      <c r="C15" s="19">
        <v>11349.33</v>
      </c>
      <c r="D15" s="20">
        <v>2459</v>
      </c>
      <c r="E15" s="21">
        <v>8890.33</v>
      </c>
      <c r="F15" s="19">
        <v>14471.43</v>
      </c>
      <c r="G15" s="20"/>
      <c r="H15" s="21">
        <v>14471.43</v>
      </c>
      <c r="I15" s="19">
        <v>20354.37</v>
      </c>
      <c r="J15" s="20"/>
      <c r="K15" s="21">
        <v>20354.37</v>
      </c>
      <c r="L15" s="19">
        <v>5466.390000000003</v>
      </c>
      <c r="M15" s="20">
        <v>2459</v>
      </c>
      <c r="N15" s="21">
        <v>3007.390000000003</v>
      </c>
      <c r="O15" s="22">
        <f>10646.98+3824.45</f>
        <v>14471.43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51869.81</v>
      </c>
      <c r="D16" s="20"/>
      <c r="E16" s="21">
        <v>51869.81</v>
      </c>
      <c r="F16" s="19">
        <v>280256.4</v>
      </c>
      <c r="G16" s="20"/>
      <c r="H16" s="21">
        <v>280256.4</v>
      </c>
      <c r="I16" s="19">
        <v>288019.62</v>
      </c>
      <c r="J16" s="20"/>
      <c r="K16" s="21">
        <v>288019.62</v>
      </c>
      <c r="L16" s="19">
        <v>44106.590000000026</v>
      </c>
      <c r="M16" s="20">
        <v>0</v>
      </c>
      <c r="N16" s="21">
        <v>44106.590000000026</v>
      </c>
      <c r="O16" s="22">
        <v>270856.4525</v>
      </c>
      <c r="P16" s="65">
        <v>2399.9475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-1701.15</v>
      </c>
      <c r="M17" s="20">
        <v>0</v>
      </c>
      <c r="N17" s="21">
        <v>-1701.15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80393.43</v>
      </c>
      <c r="D18" s="20">
        <v>76982</v>
      </c>
      <c r="E18" s="21">
        <v>3411.43</v>
      </c>
      <c r="F18" s="19">
        <v>284572.37</v>
      </c>
      <c r="G18" s="24">
        <v>284307.16</v>
      </c>
      <c r="H18" s="21"/>
      <c r="I18" s="19">
        <v>285859.5</v>
      </c>
      <c r="J18" s="20">
        <v>280779.72</v>
      </c>
      <c r="K18" s="21">
        <v>1553.81</v>
      </c>
      <c r="L18" s="19">
        <v>79106.29999999999</v>
      </c>
      <c r="M18" s="20">
        <v>77248.68</v>
      </c>
      <c r="N18" s="21">
        <v>1857.62</v>
      </c>
      <c r="O18" s="22">
        <v>284572.37</v>
      </c>
      <c r="P18" s="62">
        <v>0</v>
      </c>
    </row>
    <row r="19" spans="1:16" ht="15">
      <c r="A19" s="17"/>
      <c r="B19" s="23" t="s">
        <v>19</v>
      </c>
      <c r="C19" s="19"/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23231.870000000003</v>
      </c>
      <c r="D22" s="20"/>
      <c r="E22" s="21">
        <v>23231.870000000003</v>
      </c>
      <c r="F22" s="19">
        <v>127121.76</v>
      </c>
      <c r="G22" s="20"/>
      <c r="H22" s="21">
        <v>127121.76</v>
      </c>
      <c r="I22" s="19">
        <v>131614.93</v>
      </c>
      <c r="J22" s="20"/>
      <c r="K22" s="21">
        <v>131614.93</v>
      </c>
      <c r="L22" s="19">
        <v>18738.70000000001</v>
      </c>
      <c r="M22" s="20">
        <v>0</v>
      </c>
      <c r="N22" s="21">
        <v>18738.70000000001</v>
      </c>
      <c r="O22" s="22">
        <v>84395.16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>G24+H24</f>
        <v>73500</v>
      </c>
      <c r="G24" s="20">
        <f>60000+18000*G11</f>
        <v>73500</v>
      </c>
      <c r="H24" s="21"/>
      <c r="I24" s="19">
        <f>J24+K24</f>
        <v>73500</v>
      </c>
      <c r="J24" s="20">
        <f>60000+18000*J11</f>
        <v>73500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73500</v>
      </c>
    </row>
    <row r="25" spans="1:16" ht="15">
      <c r="A25" s="26"/>
      <c r="B25" s="27"/>
      <c r="C25" s="27">
        <v>366542.66</v>
      </c>
      <c r="D25" s="27">
        <v>86135</v>
      </c>
      <c r="E25" s="28">
        <v>280407.66</v>
      </c>
      <c r="F25" s="27">
        <f>SUM(F14:F24)</f>
        <v>1927868.84</v>
      </c>
      <c r="G25" s="27">
        <f>SUM(G14:G24)</f>
        <v>538283.5599999999</v>
      </c>
      <c r="H25" s="28">
        <v>1389320.07</v>
      </c>
      <c r="I25" s="27">
        <f>SUM(I14:I24)</f>
        <v>1984124.3500000003</v>
      </c>
      <c r="J25" s="27">
        <f>SUM(J14:J24)</f>
        <v>528697.54</v>
      </c>
      <c r="K25" s="28">
        <v>1451900.84</v>
      </c>
      <c r="L25" s="27">
        <f>SUM(L14:L24)</f>
        <v>308586.0000000001</v>
      </c>
      <c r="M25" s="27">
        <f>SUM(M14:M24)</f>
        <v>92460.25999999998</v>
      </c>
      <c r="N25" s="28">
        <v>216125.74000000014</v>
      </c>
      <c r="O25" s="27">
        <v>1578903.15915</v>
      </c>
      <c r="P25" s="27">
        <f>SUM(P14:P24)</f>
        <v>295414.6308500001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65896.15</v>
      </c>
      <c r="M32" s="77"/>
      <c r="N32" s="77"/>
      <c r="O32" s="78"/>
      <c r="P32" s="31"/>
    </row>
    <row r="33" spans="1:16" ht="15">
      <c r="A33" s="35" t="s">
        <v>34</v>
      </c>
      <c r="B33" s="59" t="s">
        <v>89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18550</v>
      </c>
      <c r="M33" s="68"/>
      <c r="N33" s="68"/>
      <c r="O33" s="68"/>
      <c r="P33" s="31"/>
    </row>
    <row r="34" spans="1:16" ht="15">
      <c r="A34" s="35" t="s">
        <v>34</v>
      </c>
      <c r="B34" s="59" t="s">
        <v>79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1364.73</v>
      </c>
      <c r="M34" s="68"/>
      <c r="N34" s="68"/>
      <c r="O34" s="68"/>
      <c r="P34" s="31"/>
    </row>
    <row r="35" spans="1:16" ht="15">
      <c r="A35" s="35" t="s">
        <v>34</v>
      </c>
      <c r="B35" s="59" t="s">
        <v>79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960</v>
      </c>
      <c r="M35" s="68"/>
      <c r="N35" s="68"/>
      <c r="O35" s="68"/>
      <c r="P35" s="31"/>
    </row>
    <row r="36" spans="1:16" ht="15">
      <c r="A36" s="35" t="s">
        <v>34</v>
      </c>
      <c r="B36" s="59" t="s">
        <v>80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1000</v>
      </c>
      <c r="M36" s="68"/>
      <c r="N36" s="68"/>
      <c r="O36" s="68"/>
      <c r="P36" s="31"/>
    </row>
    <row r="37" spans="1:16" ht="15">
      <c r="A37" s="35" t="s">
        <v>34</v>
      </c>
      <c r="B37" s="59" t="s">
        <v>90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16500</v>
      </c>
      <c r="M37" s="68"/>
      <c r="N37" s="68"/>
      <c r="O37" s="68"/>
      <c r="P37" s="31"/>
    </row>
    <row r="38" spans="1:16" ht="15">
      <c r="A38" s="35" t="s">
        <v>34</v>
      </c>
      <c r="B38" s="59" t="s">
        <v>37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24468.42</v>
      </c>
      <c r="M38" s="68"/>
      <c r="N38" s="68"/>
      <c r="O38" s="68"/>
      <c r="P38" s="31"/>
    </row>
    <row r="39" spans="1:16" ht="15">
      <c r="A39" s="35" t="s">
        <v>34</v>
      </c>
      <c r="B39" s="59" t="s">
        <v>38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3053</v>
      </c>
      <c r="M39" s="68"/>
      <c r="N39" s="68"/>
      <c r="O39" s="68"/>
      <c r="P39" s="44"/>
    </row>
    <row r="40" spans="1:16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69"/>
      <c r="M40" s="69"/>
      <c r="N40" s="69"/>
      <c r="O40" s="69"/>
      <c r="P40" s="44"/>
    </row>
    <row r="41" spans="1:16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44"/>
    </row>
    <row r="42" spans="1:15" ht="15">
      <c r="A42" s="39" t="s">
        <v>39</v>
      </c>
      <c r="B42" s="40" t="s">
        <v>139</v>
      </c>
      <c r="C42" s="40"/>
      <c r="D42" s="40"/>
      <c r="E42" s="40"/>
      <c r="F42" s="40"/>
      <c r="G42" s="40"/>
      <c r="H42" s="40"/>
      <c r="I42" s="40"/>
      <c r="J42" s="40"/>
      <c r="K42" s="40"/>
      <c r="L42" s="70">
        <f>P25</f>
        <v>295414.6308500001</v>
      </c>
      <c r="M42" s="71"/>
      <c r="N42" s="71"/>
      <c r="O42" s="72"/>
    </row>
    <row r="43" spans="1:16" ht="15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5" ht="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2"/>
    </row>
    <row r="45" spans="2:16" ht="15">
      <c r="B45" s="43" t="s">
        <v>45</v>
      </c>
      <c r="C45" s="43"/>
      <c r="D45" s="43"/>
      <c r="E45" s="43"/>
      <c r="F45" s="43"/>
      <c r="G45" s="43"/>
      <c r="H45" s="43"/>
      <c r="I45" s="43"/>
      <c r="J45" s="43"/>
      <c r="K45" s="43"/>
      <c r="L45" s="43" t="s">
        <v>41</v>
      </c>
      <c r="M45" s="43"/>
      <c r="N45" s="43"/>
      <c r="O45" s="6"/>
      <c r="P45" s="3"/>
    </row>
  </sheetData>
  <sheetProtection/>
  <mergeCells count="29">
    <mergeCell ref="M12:N12"/>
    <mergeCell ref="O12:O13"/>
    <mergeCell ref="A1:O1"/>
    <mergeCell ref="A2:O2"/>
    <mergeCell ref="A12:A13"/>
    <mergeCell ref="B12:B13"/>
    <mergeCell ref="C12:C13"/>
    <mergeCell ref="D12:E12"/>
    <mergeCell ref="F12:F13"/>
    <mergeCell ref="P12:P13"/>
    <mergeCell ref="B29:K29"/>
    <mergeCell ref="B30:K30"/>
    <mergeCell ref="L30:O30"/>
    <mergeCell ref="B32:K32"/>
    <mergeCell ref="L32:O32"/>
    <mergeCell ref="G12:H12"/>
    <mergeCell ref="I12:I13"/>
    <mergeCell ref="J12:K12"/>
    <mergeCell ref="L12:L13"/>
    <mergeCell ref="L39:O39"/>
    <mergeCell ref="L40:O40"/>
    <mergeCell ref="L42:O42"/>
    <mergeCell ref="L29:O29"/>
    <mergeCell ref="L33:O33"/>
    <mergeCell ref="L34:O34"/>
    <mergeCell ref="L35:O35"/>
    <mergeCell ref="L36:O36"/>
    <mergeCell ref="L37:O37"/>
    <mergeCell ref="L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80" zoomScaleNormal="80" zoomScalePageLayoutView="0" workbookViewId="0" topLeftCell="A7">
      <selection activeCell="L47" sqref="L47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2.28125" style="2" customWidth="1" outlineLevel="1"/>
    <col min="26" max="26" width="14.7109375" style="2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54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14514.2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>
        <v>1144.7</v>
      </c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0.983876204978075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27.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v>568606.9600000001</v>
      </c>
      <c r="D14" s="20">
        <v>22382</v>
      </c>
      <c r="E14" s="21">
        <v>546224.9600000001</v>
      </c>
      <c r="F14" s="19">
        <f aca="true" t="shared" si="0" ref="F14:F24">G14+H14</f>
        <v>2362578.1500000004</v>
      </c>
      <c r="G14" s="20">
        <v>178573.2</v>
      </c>
      <c r="H14" s="21">
        <v>2184004.95</v>
      </c>
      <c r="I14" s="19">
        <f>J14+K14</f>
        <v>2321841.0000000005</v>
      </c>
      <c r="J14" s="20">
        <v>153236.2</v>
      </c>
      <c r="K14" s="21">
        <v>2168604.8000000003</v>
      </c>
      <c r="L14" s="19">
        <f>M14+N14</f>
        <v>609344.1099999999</v>
      </c>
      <c r="M14" s="20">
        <f>D14+G14-J14</f>
        <v>47719</v>
      </c>
      <c r="N14" s="21">
        <v>561625.1099999999</v>
      </c>
      <c r="O14" s="22">
        <v>2813548.2012500004</v>
      </c>
      <c r="P14" s="62">
        <f>F14-O14</f>
        <v>-450970.05125</v>
      </c>
    </row>
    <row r="15" spans="1:16" ht="45">
      <c r="A15" s="17">
        <v>2</v>
      </c>
      <c r="B15" s="18" t="s">
        <v>17</v>
      </c>
      <c r="C15" s="19">
        <v>32613.14</v>
      </c>
      <c r="D15" s="20"/>
      <c r="E15" s="21">
        <v>32613.14</v>
      </c>
      <c r="F15" s="19">
        <f t="shared" si="0"/>
        <v>36230.15</v>
      </c>
      <c r="G15" s="20"/>
      <c r="H15" s="21">
        <v>36230.15</v>
      </c>
      <c r="I15" s="19">
        <v>53561.37</v>
      </c>
      <c r="J15" s="20"/>
      <c r="K15" s="21">
        <v>53561.37</v>
      </c>
      <c r="L15" s="19">
        <v>15281.920000000006</v>
      </c>
      <c r="M15" s="20">
        <v>0</v>
      </c>
      <c r="N15" s="21">
        <v>15281.920000000006</v>
      </c>
      <c r="O15" s="22">
        <f>25539.24+10690.91</f>
        <v>36230.15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v>141830.59</v>
      </c>
      <c r="D16" s="20"/>
      <c r="E16" s="21">
        <v>141830.59</v>
      </c>
      <c r="F16" s="19">
        <f t="shared" si="0"/>
        <v>649628.97</v>
      </c>
      <c r="G16" s="20"/>
      <c r="H16" s="21">
        <v>649628.97</v>
      </c>
      <c r="I16" s="19">
        <v>645213.25</v>
      </c>
      <c r="J16" s="20"/>
      <c r="K16" s="21">
        <v>645213.25</v>
      </c>
      <c r="L16" s="19">
        <v>146246.30999999994</v>
      </c>
      <c r="M16" s="20">
        <v>0</v>
      </c>
      <c r="N16" s="21">
        <v>146246.30999999994</v>
      </c>
      <c r="O16" s="22">
        <v>607867.3388500001</v>
      </c>
      <c r="P16" s="65">
        <v>1761.6311499999</v>
      </c>
    </row>
    <row r="17" spans="1:16" ht="15">
      <c r="A17" s="17"/>
      <c r="B17" s="23" t="s">
        <v>19</v>
      </c>
      <c r="C17" s="19">
        <v>0</v>
      </c>
      <c r="D17" s="20"/>
      <c r="E17" s="21"/>
      <c r="F17" s="19">
        <f t="shared" si="0"/>
        <v>0</v>
      </c>
      <c r="G17" s="20"/>
      <c r="H17" s="21"/>
      <c r="I17" s="19">
        <v>0</v>
      </c>
      <c r="J17" s="20"/>
      <c r="K17" s="21"/>
      <c r="L17" s="19">
        <v>-286.72</v>
      </c>
      <c r="M17" s="20">
        <v>0</v>
      </c>
      <c r="N17" s="21">
        <v>-286.72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v>3536.8</v>
      </c>
      <c r="D18" s="20">
        <v>1718</v>
      </c>
      <c r="E18" s="21">
        <v>1818.8</v>
      </c>
      <c r="F18" s="19">
        <f t="shared" si="0"/>
        <v>213669.65</v>
      </c>
      <c r="G18" s="24">
        <v>213669.65</v>
      </c>
      <c r="H18" s="21"/>
      <c r="I18" s="19">
        <v>183143.69</v>
      </c>
      <c r="J18" s="20">
        <v>168074.12</v>
      </c>
      <c r="K18" s="21">
        <v>1566.74</v>
      </c>
      <c r="L18" s="19">
        <v>34363.20999999999</v>
      </c>
      <c r="M18" s="20">
        <v>34111.149999999994</v>
      </c>
      <c r="N18" s="21">
        <v>252.05999999999995</v>
      </c>
      <c r="O18" s="22">
        <v>213669.65</v>
      </c>
      <c r="P18" s="62">
        <f>F18-O18</f>
        <v>0</v>
      </c>
    </row>
    <row r="19" spans="1:16" ht="15">
      <c r="A19" s="17"/>
      <c r="B19" s="23" t="s">
        <v>19</v>
      </c>
      <c r="C19" s="19"/>
      <c r="D19" s="20"/>
      <c r="E19" s="21"/>
      <c r="F19" s="19">
        <f t="shared" si="0"/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v>0</v>
      </c>
      <c r="D20" s="20"/>
      <c r="E20" s="21"/>
      <c r="F20" s="19">
        <f t="shared" si="0"/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v>0</v>
      </c>
      <c r="D21" s="20"/>
      <c r="E21" s="21"/>
      <c r="F21" s="19">
        <f t="shared" si="0"/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v>69434.45</v>
      </c>
      <c r="D22" s="20"/>
      <c r="E22" s="21">
        <v>69434.45</v>
      </c>
      <c r="F22" s="19">
        <f t="shared" si="0"/>
        <v>296076.93</v>
      </c>
      <c r="G22" s="20"/>
      <c r="H22" s="21">
        <v>296076.93</v>
      </c>
      <c r="I22" s="19">
        <v>294739.43</v>
      </c>
      <c r="J22" s="20"/>
      <c r="K22" s="21">
        <v>294739.43</v>
      </c>
      <c r="L22" s="19">
        <v>70771.95000000001</v>
      </c>
      <c r="M22" s="20">
        <v>0</v>
      </c>
      <c r="N22" s="21">
        <v>70771.95000000001</v>
      </c>
      <c r="O22" s="22">
        <v>296076.93</v>
      </c>
      <c r="P22" s="62">
        <v>0</v>
      </c>
    </row>
    <row r="23" spans="1:16" ht="15">
      <c r="A23" s="17">
        <v>8</v>
      </c>
      <c r="B23" s="18" t="s">
        <v>24</v>
      </c>
      <c r="C23" s="19">
        <v>0</v>
      </c>
      <c r="D23" s="20"/>
      <c r="E23" s="21"/>
      <c r="F23" s="19">
        <f t="shared" si="0"/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v>0</v>
      </c>
      <c r="D24" s="20"/>
      <c r="E24" s="21"/>
      <c r="F24" s="19">
        <f t="shared" si="0"/>
        <v>17406</v>
      </c>
      <c r="G24" s="20">
        <f>9306+10800*G11</f>
        <v>17406</v>
      </c>
      <c r="H24" s="21"/>
      <c r="I24" s="19">
        <f>J24+K24</f>
        <v>18181.5</v>
      </c>
      <c r="J24" s="20">
        <f>10081.5+10800*J11</f>
        <v>18181.5</v>
      </c>
      <c r="K24" s="21"/>
      <c r="L24" s="19">
        <f>M24+N24</f>
        <v>-775.5</v>
      </c>
      <c r="M24" s="20">
        <f>D24+G24-J24</f>
        <v>-775.5</v>
      </c>
      <c r="N24" s="21">
        <v>0</v>
      </c>
      <c r="O24" s="22">
        <v>0</v>
      </c>
      <c r="P24" s="62">
        <f>F24-O24</f>
        <v>17406</v>
      </c>
    </row>
    <row r="25" spans="1:16" ht="15">
      <c r="A25" s="26"/>
      <c r="B25" s="27"/>
      <c r="C25" s="27">
        <v>816021.9400000001</v>
      </c>
      <c r="D25" s="27">
        <v>24100</v>
      </c>
      <c r="E25" s="28">
        <v>791921.9400000001</v>
      </c>
      <c r="F25" s="27">
        <f>SUM(F14:F24)</f>
        <v>3575589.8500000006</v>
      </c>
      <c r="G25" s="27">
        <f>SUM(G14:G24)</f>
        <v>409648.85</v>
      </c>
      <c r="H25" s="28">
        <v>3165941.0000000005</v>
      </c>
      <c r="I25" s="27">
        <f>SUM(I14:I24)</f>
        <v>3516680.2400000007</v>
      </c>
      <c r="J25" s="27">
        <f>SUM(J14:J24)</f>
        <v>339491.82</v>
      </c>
      <c r="K25" s="28">
        <v>3163685.590000001</v>
      </c>
      <c r="L25" s="27">
        <f>SUM(L14:L24)</f>
        <v>874945.2799999998</v>
      </c>
      <c r="M25" s="27">
        <f>SUM(M14:M24)</f>
        <v>81054.65</v>
      </c>
      <c r="N25" s="28">
        <v>793890.6299999999</v>
      </c>
      <c r="O25" s="27">
        <v>3957001.810100001</v>
      </c>
      <c r="P25" s="27">
        <f>SUM(P14:P24)</f>
        <v>-431802.4201000001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1039128.4000000001</v>
      </c>
      <c r="M32" s="77"/>
      <c r="N32" s="77"/>
      <c r="O32" s="78"/>
      <c r="P32" s="31"/>
    </row>
    <row r="33" spans="1:16" ht="15">
      <c r="A33" s="35" t="s">
        <v>34</v>
      </c>
      <c r="B33" s="59" t="s">
        <v>79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960</v>
      </c>
      <c r="M33" s="68"/>
      <c r="N33" s="68"/>
      <c r="O33" s="68"/>
      <c r="P33" s="31"/>
    </row>
    <row r="34" spans="1:16" ht="15">
      <c r="A34" s="35" t="s">
        <v>34</v>
      </c>
      <c r="B34" s="59" t="s">
        <v>91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1150</v>
      </c>
      <c r="M34" s="68"/>
      <c r="N34" s="68"/>
      <c r="O34" s="68"/>
      <c r="P34" s="31"/>
    </row>
    <row r="35" spans="1:16" ht="15">
      <c r="A35" s="35" t="s">
        <v>34</v>
      </c>
      <c r="B35" s="59" t="s">
        <v>37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172686.54</v>
      </c>
      <c r="M35" s="68"/>
      <c r="N35" s="68"/>
      <c r="O35" s="68"/>
      <c r="P35" s="31"/>
    </row>
    <row r="36" spans="1:16" ht="15">
      <c r="A36" s="35" t="s">
        <v>34</v>
      </c>
      <c r="B36" s="59" t="s">
        <v>36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829.39</v>
      </c>
      <c r="M36" s="68"/>
      <c r="N36" s="68"/>
      <c r="O36" s="68"/>
      <c r="P36" s="31"/>
    </row>
    <row r="37" spans="1:16" ht="15">
      <c r="A37" s="35" t="s">
        <v>34</v>
      </c>
      <c r="B37" s="59" t="s">
        <v>80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1000</v>
      </c>
      <c r="M37" s="68"/>
      <c r="N37" s="68"/>
      <c r="O37" s="68"/>
      <c r="P37" s="31"/>
    </row>
    <row r="38" spans="1:16" ht="15" customHeight="1">
      <c r="A38" s="35" t="s">
        <v>34</v>
      </c>
      <c r="B38" s="63" t="s">
        <v>92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19950</v>
      </c>
      <c r="M38" s="68"/>
      <c r="N38" s="68"/>
      <c r="O38" s="68"/>
      <c r="P38" s="31"/>
    </row>
    <row r="39" spans="1:16" ht="30">
      <c r="A39" s="35" t="s">
        <v>34</v>
      </c>
      <c r="B39" s="59" t="s">
        <v>92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24569</v>
      </c>
      <c r="M39" s="68"/>
      <c r="N39" s="68"/>
      <c r="O39" s="68"/>
      <c r="P39" s="31"/>
    </row>
    <row r="40" spans="1:16" ht="15">
      <c r="A40" s="35" t="s">
        <v>34</v>
      </c>
      <c r="B40" s="59" t="s">
        <v>93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70928.17</v>
      </c>
      <c r="M40" s="68"/>
      <c r="N40" s="68"/>
      <c r="O40" s="68"/>
      <c r="P40" s="31"/>
    </row>
    <row r="41" spans="1:16" ht="15">
      <c r="A41" s="35" t="s">
        <v>34</v>
      </c>
      <c r="B41" s="59" t="s">
        <v>94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115360</v>
      </c>
      <c r="M41" s="68"/>
      <c r="N41" s="68"/>
      <c r="O41" s="68"/>
      <c r="P41" s="31"/>
    </row>
    <row r="42" spans="1:16" ht="15">
      <c r="A42" s="35" t="s">
        <v>34</v>
      </c>
      <c r="B42" s="59" t="s">
        <v>95</v>
      </c>
      <c r="C42" s="60"/>
      <c r="D42" s="61"/>
      <c r="E42" s="58"/>
      <c r="F42" s="58"/>
      <c r="G42" s="58"/>
      <c r="H42" s="58"/>
      <c r="I42" s="58"/>
      <c r="J42" s="58"/>
      <c r="K42" s="58"/>
      <c r="L42" s="68">
        <v>629457.03</v>
      </c>
      <c r="M42" s="68"/>
      <c r="N42" s="68"/>
      <c r="O42" s="68"/>
      <c r="P42" s="31"/>
    </row>
    <row r="43" spans="1:16" ht="15">
      <c r="A43" s="35" t="s">
        <v>34</v>
      </c>
      <c r="B43" s="59" t="s">
        <v>38</v>
      </c>
      <c r="C43" s="60"/>
      <c r="D43" s="61"/>
      <c r="E43" s="58"/>
      <c r="F43" s="58"/>
      <c r="G43" s="58"/>
      <c r="H43" s="58"/>
      <c r="I43" s="58"/>
      <c r="J43" s="58"/>
      <c r="K43" s="58"/>
      <c r="L43" s="68">
        <v>2238.27</v>
      </c>
      <c r="M43" s="68"/>
      <c r="N43" s="68"/>
      <c r="O43" s="68"/>
      <c r="P43" s="31"/>
    </row>
    <row r="44" spans="1:16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69"/>
      <c r="M44" s="69"/>
      <c r="N44" s="69"/>
      <c r="O44" s="69"/>
      <c r="P44" s="44"/>
    </row>
    <row r="45" spans="1:16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44"/>
    </row>
    <row r="46" spans="1:15" ht="15">
      <c r="A46" s="39" t="s">
        <v>39</v>
      </c>
      <c r="B46" s="40" t="s">
        <v>139</v>
      </c>
      <c r="C46" s="40"/>
      <c r="D46" s="40"/>
      <c r="E46" s="40"/>
      <c r="F46" s="40"/>
      <c r="G46" s="40"/>
      <c r="H46" s="40"/>
      <c r="I46" s="40"/>
      <c r="J46" s="40"/>
      <c r="K46" s="40"/>
      <c r="L46" s="70">
        <f>P25</f>
        <v>-431802.4201000001</v>
      </c>
      <c r="M46" s="71"/>
      <c r="N46" s="71"/>
      <c r="O46" s="72"/>
    </row>
    <row r="47" spans="1:16" ht="15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5" ht="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2"/>
    </row>
    <row r="49" spans="2:16" ht="15">
      <c r="B49" s="43" t="s">
        <v>45</v>
      </c>
      <c r="C49" s="43"/>
      <c r="D49" s="43"/>
      <c r="E49" s="43"/>
      <c r="F49" s="43"/>
      <c r="G49" s="43"/>
      <c r="H49" s="43"/>
      <c r="I49" s="43"/>
      <c r="J49" s="43"/>
      <c r="K49" s="43"/>
      <c r="L49" s="43" t="s">
        <v>41</v>
      </c>
      <c r="M49" s="43"/>
      <c r="N49" s="43"/>
      <c r="O49" s="6"/>
      <c r="P49" s="3"/>
    </row>
  </sheetData>
  <sheetProtection/>
  <mergeCells count="33">
    <mergeCell ref="A1:O1"/>
    <mergeCell ref="A2:O2"/>
    <mergeCell ref="A12:A13"/>
    <mergeCell ref="B12:B13"/>
    <mergeCell ref="C12:C13"/>
    <mergeCell ref="D12:E12"/>
    <mergeCell ref="F12:F13"/>
    <mergeCell ref="G12:H12"/>
    <mergeCell ref="I12:I13"/>
    <mergeCell ref="J12:K12"/>
    <mergeCell ref="L12:L13"/>
    <mergeCell ref="M12:N12"/>
    <mergeCell ref="O12:O13"/>
    <mergeCell ref="P12:P13"/>
    <mergeCell ref="B29:K29"/>
    <mergeCell ref="L29:O29"/>
    <mergeCell ref="L40:O40"/>
    <mergeCell ref="B30:K30"/>
    <mergeCell ref="L30:O30"/>
    <mergeCell ref="B32:K32"/>
    <mergeCell ref="L32:O32"/>
    <mergeCell ref="L33:O33"/>
    <mergeCell ref="L34:O34"/>
    <mergeCell ref="L41:O41"/>
    <mergeCell ref="L42:O42"/>
    <mergeCell ref="L43:O43"/>
    <mergeCell ref="L44:O44"/>
    <mergeCell ref="L46:O46"/>
    <mergeCell ref="L35:O35"/>
    <mergeCell ref="L36:O36"/>
    <mergeCell ref="L37:O37"/>
    <mergeCell ref="L38:O38"/>
    <mergeCell ref="L39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="80" zoomScaleNormal="80" zoomScalePageLayoutView="0" workbookViewId="0" topLeftCell="A13">
      <selection activeCell="L45" sqref="L45"/>
    </sheetView>
  </sheetViews>
  <sheetFormatPr defaultColWidth="9.140625" defaultRowHeight="15" outlineLevelCol="1"/>
  <cols>
    <col min="1" max="1" width="4.28125" style="2" customWidth="1"/>
    <col min="2" max="2" width="34.28125" style="2" customWidth="1"/>
    <col min="3" max="3" width="15.421875" style="2" customWidth="1"/>
    <col min="4" max="4" width="11.57421875" style="2" customWidth="1" outlineLevel="1"/>
    <col min="5" max="5" width="13.7109375" style="3" customWidth="1" outlineLevel="1"/>
    <col min="6" max="6" width="12.8515625" style="2" customWidth="1"/>
    <col min="7" max="7" width="14.57421875" style="2" customWidth="1" outlineLevel="1"/>
    <col min="8" max="8" width="14.7109375" style="2" customWidth="1" outlineLevel="1"/>
    <col min="9" max="9" width="13.140625" style="2" customWidth="1"/>
    <col min="10" max="10" width="14.00390625" style="2" customWidth="1" outlineLevel="1"/>
    <col min="11" max="11" width="15.57421875" style="2" customWidth="1" outlineLevel="1"/>
    <col min="12" max="12" width="13.28125" style="2" customWidth="1"/>
    <col min="13" max="14" width="13.28125" style="2" customWidth="1" outlineLevel="1"/>
    <col min="15" max="15" width="15.8515625" style="2" customWidth="1"/>
    <col min="16" max="16" width="14.140625" style="2" customWidth="1"/>
    <col min="17" max="17" width="11.421875" style="2" customWidth="1" outlineLevel="1"/>
    <col min="18" max="18" width="15.00390625" style="2" customWidth="1" outlineLevel="1"/>
    <col min="19" max="19" width="13.140625" style="2" customWidth="1" outlineLevel="1"/>
    <col min="20" max="20" width="11.7109375" style="2" customWidth="1" outlineLevel="1"/>
    <col min="21" max="21" width="13.140625" style="2" customWidth="1" outlineLevel="1"/>
    <col min="22" max="22" width="13.140625" style="2" customWidth="1" outlineLevel="1" collapsed="1"/>
    <col min="23" max="23" width="15.28125" style="2" customWidth="1" outlineLevel="1"/>
    <col min="24" max="24" width="16.140625" style="2" customWidth="1" outlineLevel="1"/>
    <col min="25" max="25" width="10.8515625" style="2" customWidth="1" outlineLevel="1"/>
    <col min="26" max="26" width="10.7109375" style="2" bestFit="1" customWidth="1"/>
    <col min="27" max="16384" width="9.140625" style="2" customWidth="1"/>
  </cols>
  <sheetData>
    <row r="1" spans="1:16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7"/>
    </row>
    <row r="2" spans="1:16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6" ht="18.75">
      <c r="A3" s="1"/>
      <c r="B3" s="4" t="s">
        <v>55</v>
      </c>
      <c r="C3" s="1"/>
      <c r="D3" s="5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6" t="s">
        <v>44</v>
      </c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1"/>
      <c r="B5" s="7" t="s">
        <v>147</v>
      </c>
      <c r="C5" s="1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2" t="s">
        <v>2</v>
      </c>
      <c r="C6" s="8">
        <v>5848.8</v>
      </c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" t="s">
        <v>3</v>
      </c>
      <c r="C7" s="8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9" t="s">
        <v>4</v>
      </c>
      <c r="C8" s="10">
        <v>1.0025004987847985</v>
      </c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4:9" ht="15">
      <c r="D9" s="8"/>
      <c r="E9" s="11"/>
      <c r="F9" s="8"/>
      <c r="G9" s="8"/>
      <c r="H9" s="8"/>
      <c r="I9" s="8"/>
    </row>
    <row r="10" spans="2:15" ht="15">
      <c r="B10" s="9"/>
      <c r="E10" s="13"/>
      <c r="G10" s="8"/>
      <c r="H10" s="8"/>
      <c r="I10" s="8"/>
      <c r="O10" s="1"/>
    </row>
    <row r="11" spans="1:16" ht="15">
      <c r="A11" s="5" t="s">
        <v>5</v>
      </c>
      <c r="B11" s="1" t="s">
        <v>6</v>
      </c>
      <c r="C11" s="1"/>
      <c r="D11" s="1"/>
      <c r="E11" s="1"/>
      <c r="F11" s="1"/>
      <c r="G11" s="66">
        <v>0.75</v>
      </c>
      <c r="H11" s="67"/>
      <c r="I11" s="67"/>
      <c r="J11" s="66">
        <v>0.75</v>
      </c>
      <c r="K11" s="15"/>
      <c r="O11" s="1"/>
      <c r="P11" s="5" t="s">
        <v>150</v>
      </c>
    </row>
    <row r="12" spans="1:16" ht="15">
      <c r="A12" s="88" t="s">
        <v>7</v>
      </c>
      <c r="B12" s="88" t="s">
        <v>8</v>
      </c>
      <c r="C12" s="79" t="s">
        <v>9</v>
      </c>
      <c r="D12" s="80" t="s">
        <v>10</v>
      </c>
      <c r="E12" s="80"/>
      <c r="F12" s="79" t="s">
        <v>11</v>
      </c>
      <c r="G12" s="80" t="s">
        <v>10</v>
      </c>
      <c r="H12" s="80"/>
      <c r="I12" s="79" t="s">
        <v>12</v>
      </c>
      <c r="J12" s="80" t="s">
        <v>10</v>
      </c>
      <c r="K12" s="80"/>
      <c r="L12" s="79" t="s">
        <v>13</v>
      </c>
      <c r="M12" s="80" t="s">
        <v>10</v>
      </c>
      <c r="N12" s="80"/>
      <c r="O12" s="81" t="s">
        <v>148</v>
      </c>
      <c r="P12" s="82" t="s">
        <v>149</v>
      </c>
    </row>
    <row r="13" spans="1:16" ht="134.25" customHeight="1">
      <c r="A13" s="88"/>
      <c r="B13" s="88"/>
      <c r="C13" s="79"/>
      <c r="D13" s="16" t="s">
        <v>14</v>
      </c>
      <c r="E13" s="16" t="s">
        <v>15</v>
      </c>
      <c r="F13" s="79"/>
      <c r="G13" s="16" t="s">
        <v>14</v>
      </c>
      <c r="H13" s="16" t="s">
        <v>15</v>
      </c>
      <c r="I13" s="79"/>
      <c r="J13" s="16" t="s">
        <v>14</v>
      </c>
      <c r="K13" s="16" t="s">
        <v>15</v>
      </c>
      <c r="L13" s="79"/>
      <c r="M13" s="16" t="s">
        <v>14</v>
      </c>
      <c r="N13" s="16" t="s">
        <v>15</v>
      </c>
      <c r="O13" s="81"/>
      <c r="P13" s="82"/>
    </row>
    <row r="14" spans="1:16" ht="30">
      <c r="A14" s="17">
        <v>1</v>
      </c>
      <c r="B14" s="18" t="s">
        <v>16</v>
      </c>
      <c r="C14" s="19">
        <f>D14+E14</f>
        <v>296209.20999999996</v>
      </c>
      <c r="D14" s="20"/>
      <c r="E14" s="21">
        <v>296209.20999999996</v>
      </c>
      <c r="F14" s="19">
        <f>G14+H14</f>
        <v>914660</v>
      </c>
      <c r="G14" s="20"/>
      <c r="H14" s="21">
        <v>914660</v>
      </c>
      <c r="I14" s="19">
        <f>J14+K14</f>
        <v>919770.2799999999</v>
      </c>
      <c r="J14" s="20"/>
      <c r="K14" s="21">
        <v>919770.2799999999</v>
      </c>
      <c r="L14" s="19">
        <f>M14+N14</f>
        <v>291098.93000000005</v>
      </c>
      <c r="M14" s="20">
        <f>D14+G14-J14</f>
        <v>0</v>
      </c>
      <c r="N14" s="21">
        <v>291098.93000000005</v>
      </c>
      <c r="O14" s="22">
        <v>1012484.5869999999</v>
      </c>
      <c r="P14" s="62">
        <f>F14-O14</f>
        <v>-97824.58699999994</v>
      </c>
    </row>
    <row r="15" spans="1:16" ht="45">
      <c r="A15" s="17">
        <v>2</v>
      </c>
      <c r="B15" s="18" t="s">
        <v>17</v>
      </c>
      <c r="C15" s="19">
        <f aca="true" t="shared" si="0" ref="C15:C24">D15+E15</f>
        <v>9736.63</v>
      </c>
      <c r="D15" s="20"/>
      <c r="E15" s="21">
        <v>9736.63</v>
      </c>
      <c r="F15" s="19">
        <v>13720.96</v>
      </c>
      <c r="G15" s="20"/>
      <c r="H15" s="21">
        <v>13720.96</v>
      </c>
      <c r="I15" s="19">
        <v>18064.22</v>
      </c>
      <c r="J15" s="20"/>
      <c r="K15" s="21">
        <v>18064.22</v>
      </c>
      <c r="L15" s="19">
        <v>5393.369999999995</v>
      </c>
      <c r="M15" s="20">
        <v>0</v>
      </c>
      <c r="N15" s="21">
        <v>5393.369999999995</v>
      </c>
      <c r="O15" s="22">
        <f>10310.66+3410.3</f>
        <v>13720.96</v>
      </c>
      <c r="P15" s="62">
        <f>F15-O15</f>
        <v>0</v>
      </c>
    </row>
    <row r="16" spans="1:16" ht="15">
      <c r="A16" s="17">
        <v>3</v>
      </c>
      <c r="B16" s="18" t="s">
        <v>18</v>
      </c>
      <c r="C16" s="19">
        <f t="shared" si="0"/>
        <v>61149.42</v>
      </c>
      <c r="D16" s="20"/>
      <c r="E16" s="21">
        <v>61149.42</v>
      </c>
      <c r="F16" s="19">
        <v>257871.74</v>
      </c>
      <c r="G16" s="20"/>
      <c r="H16" s="21">
        <v>257871.74</v>
      </c>
      <c r="I16" s="19">
        <v>250636.63</v>
      </c>
      <c r="J16" s="20"/>
      <c r="K16" s="21">
        <v>250636.63</v>
      </c>
      <c r="L16" s="19">
        <v>68384.52999999997</v>
      </c>
      <c r="M16" s="20">
        <v>0</v>
      </c>
      <c r="N16" s="21">
        <v>68384.52999999997</v>
      </c>
      <c r="O16" s="22">
        <v>237393.08495</v>
      </c>
      <c r="P16" s="65">
        <v>2478.65505</v>
      </c>
    </row>
    <row r="17" spans="1:16" ht="15">
      <c r="A17" s="17"/>
      <c r="B17" s="23" t="s">
        <v>19</v>
      </c>
      <c r="C17" s="19">
        <f t="shared" si="0"/>
        <v>0</v>
      </c>
      <c r="D17" s="20"/>
      <c r="E17" s="21"/>
      <c r="F17" s="19">
        <v>0</v>
      </c>
      <c r="G17" s="20"/>
      <c r="H17" s="21"/>
      <c r="I17" s="19">
        <v>0</v>
      </c>
      <c r="J17" s="20"/>
      <c r="K17" s="21"/>
      <c r="L17" s="19">
        <v>0</v>
      </c>
      <c r="M17" s="20">
        <v>0</v>
      </c>
      <c r="N17" s="21">
        <v>0</v>
      </c>
      <c r="O17" s="22">
        <v>0</v>
      </c>
      <c r="P17" s="62">
        <v>0</v>
      </c>
    </row>
    <row r="18" spans="1:16" ht="15">
      <c r="A18" s="17">
        <v>4</v>
      </c>
      <c r="B18" s="18" t="s">
        <v>20</v>
      </c>
      <c r="C18" s="19">
        <f t="shared" si="0"/>
        <v>0</v>
      </c>
      <c r="D18" s="20"/>
      <c r="E18" s="21"/>
      <c r="F18" s="19">
        <v>0</v>
      </c>
      <c r="G18" s="24"/>
      <c r="H18" s="21"/>
      <c r="I18" s="19">
        <v>0</v>
      </c>
      <c r="J18" s="20"/>
      <c r="K18" s="21"/>
      <c r="L18" s="19">
        <v>0</v>
      </c>
      <c r="M18" s="20">
        <v>0</v>
      </c>
      <c r="N18" s="21">
        <v>0</v>
      </c>
      <c r="O18" s="22">
        <v>0</v>
      </c>
      <c r="P18" s="62">
        <v>0</v>
      </c>
    </row>
    <row r="19" spans="1:16" ht="15">
      <c r="A19" s="17"/>
      <c r="B19" s="23" t="s">
        <v>19</v>
      </c>
      <c r="C19" s="19">
        <f t="shared" si="0"/>
        <v>0</v>
      </c>
      <c r="D19" s="20"/>
      <c r="E19" s="21"/>
      <c r="F19" s="19">
        <v>0</v>
      </c>
      <c r="G19" s="24"/>
      <c r="H19" s="21"/>
      <c r="I19" s="19"/>
      <c r="J19" s="20"/>
      <c r="K19" s="21"/>
      <c r="L19" s="19"/>
      <c r="M19" s="20">
        <v>0</v>
      </c>
      <c r="N19" s="21">
        <v>0</v>
      </c>
      <c r="O19" s="22">
        <v>0</v>
      </c>
      <c r="P19" s="62">
        <v>0</v>
      </c>
    </row>
    <row r="20" spans="1:16" ht="15">
      <c r="A20" s="17">
        <v>5</v>
      </c>
      <c r="B20" s="25" t="s">
        <v>21</v>
      </c>
      <c r="C20" s="19">
        <f t="shared" si="0"/>
        <v>0</v>
      </c>
      <c r="D20" s="20"/>
      <c r="E20" s="21"/>
      <c r="F20" s="19">
        <v>0</v>
      </c>
      <c r="G20" s="20"/>
      <c r="H20" s="21"/>
      <c r="I20" s="19">
        <v>0</v>
      </c>
      <c r="J20" s="20"/>
      <c r="K20" s="21"/>
      <c r="L20" s="19">
        <v>0</v>
      </c>
      <c r="M20" s="20">
        <v>0</v>
      </c>
      <c r="N20" s="21">
        <v>0</v>
      </c>
      <c r="O20" s="22">
        <v>0</v>
      </c>
      <c r="P20" s="62">
        <v>0</v>
      </c>
    </row>
    <row r="21" spans="1:16" ht="15">
      <c r="A21" s="17">
        <v>6</v>
      </c>
      <c r="B21" s="18" t="s">
        <v>22</v>
      </c>
      <c r="C21" s="19">
        <f t="shared" si="0"/>
        <v>0</v>
      </c>
      <c r="D21" s="20"/>
      <c r="E21" s="21"/>
      <c r="F21" s="19">
        <v>0</v>
      </c>
      <c r="G21" s="20"/>
      <c r="H21" s="21"/>
      <c r="I21" s="19">
        <v>0</v>
      </c>
      <c r="J21" s="20"/>
      <c r="K21" s="21"/>
      <c r="L21" s="19">
        <v>0</v>
      </c>
      <c r="M21" s="20">
        <v>0</v>
      </c>
      <c r="N21" s="21">
        <v>0</v>
      </c>
      <c r="O21" s="22">
        <v>0</v>
      </c>
      <c r="P21" s="62">
        <v>0</v>
      </c>
    </row>
    <row r="22" spans="1:16" ht="15">
      <c r="A22" s="17">
        <v>7</v>
      </c>
      <c r="B22" s="18" t="s">
        <v>23</v>
      </c>
      <c r="C22" s="19">
        <f t="shared" si="0"/>
        <v>24338.68</v>
      </c>
      <c r="D22" s="20"/>
      <c r="E22" s="21">
        <v>24338.68</v>
      </c>
      <c r="F22" s="19">
        <v>118241.64</v>
      </c>
      <c r="G22" s="20"/>
      <c r="H22" s="21">
        <v>118241.64</v>
      </c>
      <c r="I22" s="19">
        <v>119291.74</v>
      </c>
      <c r="J22" s="20"/>
      <c r="K22" s="21">
        <v>119291.74</v>
      </c>
      <c r="L22" s="19">
        <v>23288.58</v>
      </c>
      <c r="M22" s="20">
        <v>0</v>
      </c>
      <c r="N22" s="21">
        <v>23288.58</v>
      </c>
      <c r="O22" s="22">
        <v>118241.63999999998</v>
      </c>
      <c r="P22" s="62">
        <v>0</v>
      </c>
    </row>
    <row r="23" spans="1:16" ht="15">
      <c r="A23" s="17">
        <v>8</v>
      </c>
      <c r="B23" s="18" t="s">
        <v>24</v>
      </c>
      <c r="C23" s="19">
        <f t="shared" si="0"/>
        <v>0</v>
      </c>
      <c r="D23" s="20"/>
      <c r="E23" s="21"/>
      <c r="F23" s="19">
        <v>0</v>
      </c>
      <c r="G23" s="20"/>
      <c r="H23" s="21"/>
      <c r="I23" s="19">
        <v>0</v>
      </c>
      <c r="J23" s="20"/>
      <c r="K23" s="21"/>
      <c r="L23" s="19">
        <v>0</v>
      </c>
      <c r="M23" s="20">
        <v>0</v>
      </c>
      <c r="N23" s="21">
        <v>0</v>
      </c>
      <c r="O23" s="22">
        <v>0</v>
      </c>
      <c r="P23" s="62">
        <v>0</v>
      </c>
    </row>
    <row r="24" spans="1:16" ht="30">
      <c r="A24" s="17">
        <v>9</v>
      </c>
      <c r="B24" s="18" t="s">
        <v>42</v>
      </c>
      <c r="C24" s="19">
        <f t="shared" si="0"/>
        <v>0</v>
      </c>
      <c r="D24" s="20"/>
      <c r="E24" s="21"/>
      <c r="F24" s="19">
        <f>G24+H24</f>
        <v>9000</v>
      </c>
      <c r="G24" s="20">
        <f>12000*G11</f>
        <v>9000</v>
      </c>
      <c r="H24" s="21"/>
      <c r="I24" s="19">
        <f>J24+K24</f>
        <v>9000</v>
      </c>
      <c r="J24" s="20">
        <f>12000*J11</f>
        <v>9000</v>
      </c>
      <c r="K24" s="21"/>
      <c r="L24" s="19">
        <f>M24+N24</f>
        <v>0</v>
      </c>
      <c r="M24" s="20">
        <f>D24+G24-J24</f>
        <v>0</v>
      </c>
      <c r="N24" s="21">
        <v>0</v>
      </c>
      <c r="O24" s="22">
        <v>0</v>
      </c>
      <c r="P24" s="62">
        <f>F24-O24</f>
        <v>9000</v>
      </c>
    </row>
    <row r="25" spans="1:16" ht="15">
      <c r="A25" s="26"/>
      <c r="B25" s="27"/>
      <c r="C25" s="27">
        <f>SUM(C14:C24)</f>
        <v>391433.93999999994</v>
      </c>
      <c r="D25" s="27"/>
      <c r="E25" s="28">
        <v>391433.93999999994</v>
      </c>
      <c r="F25" s="27">
        <f>SUM(F14:F24)</f>
        <v>1313494.3399999999</v>
      </c>
      <c r="G25" s="27">
        <v>21403.125</v>
      </c>
      <c r="H25" s="28">
        <v>1304494.3399999999</v>
      </c>
      <c r="I25" s="27">
        <f>SUM(I14:I24)</f>
        <v>1316762.8699999999</v>
      </c>
      <c r="J25" s="27">
        <f>SUM(J14:J24)</f>
        <v>9000</v>
      </c>
      <c r="K25" s="28">
        <v>1307762.8699999999</v>
      </c>
      <c r="L25" s="27">
        <f>SUM(L14:L24)</f>
        <v>388165.41000000003</v>
      </c>
      <c r="M25" s="27">
        <f>SUM(M14:M24)</f>
        <v>0</v>
      </c>
      <c r="N25" s="28">
        <v>388165.41000000003</v>
      </c>
      <c r="O25" s="27">
        <v>1378429.97195</v>
      </c>
      <c r="P25" s="27">
        <f>SUM(P14:P24)</f>
        <v>-86345.93194999994</v>
      </c>
    </row>
    <row r="26" spans="1:16" ht="1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" ht="15">
      <c r="A28" s="5" t="s">
        <v>25</v>
      </c>
      <c r="B28" s="1" t="s">
        <v>26</v>
      </c>
    </row>
    <row r="29" spans="1:16" ht="15">
      <c r="A29" s="56"/>
      <c r="B29" s="83" t="s">
        <v>27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151</v>
      </c>
      <c r="M29" s="85"/>
      <c r="N29" s="85"/>
      <c r="O29" s="86"/>
      <c r="P29" s="31"/>
    </row>
    <row r="30" spans="1:16" ht="15">
      <c r="A30" s="3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  <c r="O30" s="74"/>
      <c r="P30" s="31"/>
    </row>
    <row r="31" spans="1:16" ht="15">
      <c r="A31" s="32"/>
      <c r="B31" s="59"/>
      <c r="C31" s="61"/>
      <c r="D31" s="58"/>
      <c r="E31" s="58"/>
      <c r="F31" s="58"/>
      <c r="G31" s="58"/>
      <c r="H31" s="58"/>
      <c r="I31" s="58"/>
      <c r="J31" s="58"/>
      <c r="K31" s="58"/>
      <c r="L31" s="54"/>
      <c r="M31" s="54"/>
      <c r="N31" s="54"/>
      <c r="O31" s="54"/>
      <c r="P31" s="33"/>
    </row>
    <row r="32" spans="1:16" ht="15">
      <c r="A32" s="32">
        <v>2</v>
      </c>
      <c r="B32" s="75" t="s">
        <v>33</v>
      </c>
      <c r="C32" s="75"/>
      <c r="D32" s="75"/>
      <c r="E32" s="75"/>
      <c r="F32" s="75"/>
      <c r="G32" s="75"/>
      <c r="H32" s="75"/>
      <c r="I32" s="75"/>
      <c r="J32" s="75"/>
      <c r="K32" s="75"/>
      <c r="L32" s="76">
        <v>315561.65</v>
      </c>
      <c r="M32" s="77"/>
      <c r="N32" s="77"/>
      <c r="O32" s="78"/>
      <c r="P32" s="31"/>
    </row>
    <row r="33" spans="1:16" ht="15">
      <c r="A33" s="35" t="s">
        <v>34</v>
      </c>
      <c r="B33" s="59" t="s">
        <v>140</v>
      </c>
      <c r="C33" s="60"/>
      <c r="D33" s="61"/>
      <c r="E33" s="58"/>
      <c r="F33" s="58"/>
      <c r="G33" s="58"/>
      <c r="H33" s="58"/>
      <c r="I33" s="58"/>
      <c r="J33" s="58"/>
      <c r="K33" s="58"/>
      <c r="L33" s="68">
        <v>48310.36</v>
      </c>
      <c r="M33" s="68"/>
      <c r="N33" s="68"/>
      <c r="O33" s="68"/>
      <c r="P33" s="31"/>
    </row>
    <row r="34" spans="1:16" ht="15">
      <c r="A34" s="35" t="s">
        <v>34</v>
      </c>
      <c r="B34" s="59" t="s">
        <v>96</v>
      </c>
      <c r="C34" s="60"/>
      <c r="D34" s="61"/>
      <c r="E34" s="58"/>
      <c r="F34" s="58"/>
      <c r="G34" s="58"/>
      <c r="H34" s="58"/>
      <c r="I34" s="58"/>
      <c r="J34" s="58"/>
      <c r="K34" s="58"/>
      <c r="L34" s="68">
        <v>92223.5</v>
      </c>
      <c r="M34" s="68"/>
      <c r="N34" s="68"/>
      <c r="O34" s="68"/>
      <c r="P34" s="31"/>
    </row>
    <row r="35" spans="1:16" ht="15">
      <c r="A35" s="35" t="s">
        <v>34</v>
      </c>
      <c r="B35" s="59" t="s">
        <v>97</v>
      </c>
      <c r="C35" s="60"/>
      <c r="D35" s="61"/>
      <c r="E35" s="58"/>
      <c r="F35" s="58"/>
      <c r="G35" s="58"/>
      <c r="H35" s="58"/>
      <c r="I35" s="58"/>
      <c r="J35" s="58"/>
      <c r="K35" s="58"/>
      <c r="L35" s="68">
        <v>112000</v>
      </c>
      <c r="M35" s="68"/>
      <c r="N35" s="68"/>
      <c r="O35" s="68"/>
      <c r="P35" s="31"/>
    </row>
    <row r="36" spans="1:16" ht="15">
      <c r="A36" s="35" t="s">
        <v>34</v>
      </c>
      <c r="B36" s="59" t="s">
        <v>79</v>
      </c>
      <c r="C36" s="60"/>
      <c r="D36" s="61"/>
      <c r="E36" s="58"/>
      <c r="F36" s="58"/>
      <c r="G36" s="58"/>
      <c r="H36" s="58"/>
      <c r="I36" s="58"/>
      <c r="J36" s="58"/>
      <c r="K36" s="58"/>
      <c r="L36" s="68">
        <v>1364.73</v>
      </c>
      <c r="M36" s="68"/>
      <c r="N36" s="68"/>
      <c r="O36" s="68"/>
      <c r="P36" s="31"/>
    </row>
    <row r="37" spans="1:16" ht="15">
      <c r="A37" s="35" t="s">
        <v>34</v>
      </c>
      <c r="B37" s="59" t="s">
        <v>37</v>
      </c>
      <c r="C37" s="60"/>
      <c r="D37" s="61"/>
      <c r="E37" s="58"/>
      <c r="F37" s="58"/>
      <c r="G37" s="58"/>
      <c r="H37" s="58"/>
      <c r="I37" s="58"/>
      <c r="J37" s="58"/>
      <c r="K37" s="58"/>
      <c r="L37" s="68">
        <v>45526.42</v>
      </c>
      <c r="M37" s="68"/>
      <c r="N37" s="68"/>
      <c r="O37" s="68"/>
      <c r="P37" s="31"/>
    </row>
    <row r="38" spans="1:16" ht="15">
      <c r="A38" s="35" t="s">
        <v>34</v>
      </c>
      <c r="B38" s="59" t="s">
        <v>141</v>
      </c>
      <c r="C38" s="60"/>
      <c r="D38" s="61"/>
      <c r="E38" s="58"/>
      <c r="F38" s="58"/>
      <c r="G38" s="58"/>
      <c r="H38" s="58"/>
      <c r="I38" s="58"/>
      <c r="J38" s="58"/>
      <c r="K38" s="58"/>
      <c r="L38" s="68">
        <v>3626.3</v>
      </c>
      <c r="M38" s="68"/>
      <c r="N38" s="68"/>
      <c r="O38" s="68"/>
      <c r="P38" s="31"/>
    </row>
    <row r="39" spans="1:16" ht="15">
      <c r="A39" s="35" t="s">
        <v>34</v>
      </c>
      <c r="B39" s="59" t="s">
        <v>87</v>
      </c>
      <c r="C39" s="60"/>
      <c r="D39" s="61"/>
      <c r="E39" s="58"/>
      <c r="F39" s="58"/>
      <c r="G39" s="58"/>
      <c r="H39" s="58"/>
      <c r="I39" s="58"/>
      <c r="J39" s="58"/>
      <c r="K39" s="58"/>
      <c r="L39" s="68">
        <v>9600</v>
      </c>
      <c r="M39" s="68"/>
      <c r="N39" s="68"/>
      <c r="O39" s="68"/>
      <c r="P39" s="31"/>
    </row>
    <row r="40" spans="1:16" ht="15">
      <c r="A40" s="35" t="s">
        <v>34</v>
      </c>
      <c r="B40" s="59" t="s">
        <v>79</v>
      </c>
      <c r="C40" s="60"/>
      <c r="D40" s="61"/>
      <c r="E40" s="58"/>
      <c r="F40" s="58"/>
      <c r="G40" s="58"/>
      <c r="H40" s="58"/>
      <c r="I40" s="58"/>
      <c r="J40" s="58"/>
      <c r="K40" s="58"/>
      <c r="L40" s="68">
        <v>960</v>
      </c>
      <c r="M40" s="68"/>
      <c r="N40" s="68"/>
      <c r="O40" s="68"/>
      <c r="P40" s="31"/>
    </row>
    <row r="41" spans="1:16" ht="15">
      <c r="A41" s="35" t="s">
        <v>34</v>
      </c>
      <c r="B41" s="59" t="s">
        <v>38</v>
      </c>
      <c r="C41" s="60"/>
      <c r="D41" s="61"/>
      <c r="E41" s="58"/>
      <c r="F41" s="58"/>
      <c r="G41" s="58"/>
      <c r="H41" s="58"/>
      <c r="I41" s="58"/>
      <c r="J41" s="58"/>
      <c r="K41" s="58"/>
      <c r="L41" s="68">
        <v>1950.34</v>
      </c>
      <c r="M41" s="68"/>
      <c r="N41" s="68"/>
      <c r="O41" s="68"/>
      <c r="P41" s="31"/>
    </row>
    <row r="42" spans="1:16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69"/>
      <c r="M42" s="69"/>
      <c r="N42" s="69"/>
      <c r="O42" s="69"/>
      <c r="P42" s="44"/>
    </row>
    <row r="43" spans="1:16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44"/>
    </row>
    <row r="44" spans="1:15" ht="15">
      <c r="A44" s="39" t="s">
        <v>39</v>
      </c>
      <c r="B44" s="40" t="s">
        <v>135</v>
      </c>
      <c r="C44" s="40"/>
      <c r="D44" s="40"/>
      <c r="E44" s="40"/>
      <c r="F44" s="40"/>
      <c r="G44" s="40"/>
      <c r="H44" s="40"/>
      <c r="I44" s="40"/>
      <c r="J44" s="40"/>
      <c r="K44" s="40"/>
      <c r="L44" s="70">
        <f>P25</f>
        <v>-86345.93194999994</v>
      </c>
      <c r="M44" s="71"/>
      <c r="N44" s="71"/>
      <c r="O44" s="72"/>
    </row>
    <row r="45" spans="1:16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5" ht="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42"/>
    </row>
    <row r="47" spans="2:16" ht="15">
      <c r="B47" s="43" t="s">
        <v>45</v>
      </c>
      <c r="C47" s="43"/>
      <c r="D47" s="43"/>
      <c r="E47" s="43"/>
      <c r="F47" s="43"/>
      <c r="G47" s="43"/>
      <c r="H47" s="43"/>
      <c r="I47" s="43"/>
      <c r="J47" s="43"/>
      <c r="K47" s="43"/>
      <c r="L47" s="43" t="s">
        <v>41</v>
      </c>
      <c r="M47" s="43"/>
      <c r="N47" s="43"/>
      <c r="O47" s="6"/>
      <c r="P47" s="3"/>
    </row>
  </sheetData>
  <sheetProtection/>
  <mergeCells count="31">
    <mergeCell ref="A1:O1"/>
    <mergeCell ref="A2:O2"/>
    <mergeCell ref="J12:K12"/>
    <mergeCell ref="L12:L13"/>
    <mergeCell ref="M12:N12"/>
    <mergeCell ref="O12:O13"/>
    <mergeCell ref="A12:A13"/>
    <mergeCell ref="P12:P13"/>
    <mergeCell ref="B29:K29"/>
    <mergeCell ref="L29:O29"/>
    <mergeCell ref="B30:K30"/>
    <mergeCell ref="L30:O30"/>
    <mergeCell ref="B12:B13"/>
    <mergeCell ref="G12:H12"/>
    <mergeCell ref="L42:O42"/>
    <mergeCell ref="F12:F13"/>
    <mergeCell ref="L38:O38"/>
    <mergeCell ref="C12:C13"/>
    <mergeCell ref="I12:I13"/>
    <mergeCell ref="L39:O39"/>
    <mergeCell ref="B32:K32"/>
    <mergeCell ref="L44:O44"/>
    <mergeCell ref="L33:O33"/>
    <mergeCell ref="L34:O34"/>
    <mergeCell ref="L35:O35"/>
    <mergeCell ref="L36:O36"/>
    <mergeCell ref="D12:E12"/>
    <mergeCell ref="L37:O37"/>
    <mergeCell ref="L32:O32"/>
    <mergeCell ref="L40:O40"/>
    <mergeCell ref="L41:O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Людмила Михайловна</dc:creator>
  <cp:keywords/>
  <dc:description/>
  <cp:lastModifiedBy>User</cp:lastModifiedBy>
  <cp:lastPrinted>2015-04-03T06:25:03Z</cp:lastPrinted>
  <dcterms:created xsi:type="dcterms:W3CDTF">2015-03-20T11:44:26Z</dcterms:created>
  <dcterms:modified xsi:type="dcterms:W3CDTF">2015-04-06T05:54:57Z</dcterms:modified>
  <cp:category/>
  <cp:version/>
  <cp:contentType/>
  <cp:contentStatus/>
</cp:coreProperties>
</file>